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tabRatio="956" activeTab="0"/>
  </bookViews>
  <sheets>
    <sheet name="4.6 断面照査(非合成)" sheetId="1" r:id="rId1"/>
    <sheet name="4.6 追加断面照査(非合成)" sheetId="2" r:id="rId2"/>
    <sheet name="4.7 現場継手(非合成)" sheetId="3" r:id="rId3"/>
    <sheet name="4.8 断面構成図" sheetId="4" r:id="rId4"/>
  </sheets>
  <definedNames>
    <definedName name="_xlnm.Print_Area" localSheetId="0">'4.6 断面照査(非合成)'!$A:$AS</definedName>
    <definedName name="_xlnm.Print_Area" localSheetId="1">'4.6 追加断面照査(非合成)'!$A:$AS</definedName>
    <definedName name="_xlnm.Print_Area" localSheetId="2">'4.7 現場継手(非合成)'!$A:$AS</definedName>
  </definedNames>
  <calcPr fullCalcOnLoad="1"/>
</workbook>
</file>

<file path=xl/sharedStrings.xml><?xml version="1.0" encoding="utf-8"?>
<sst xmlns="http://schemas.openxmlformats.org/spreadsheetml/2006/main" count="3798" uniqueCount="304">
  <si>
    <t xml:space="preserve"> 4.7. 現場継手計算</t>
  </si>
  <si>
    <t>AW</t>
  </si>
  <si>
    <t>&lt; 桁1 &gt;</t>
  </si>
  <si>
    <t>&lt; 桁2 &gt;</t>
  </si>
  <si>
    <t>SS400</t>
  </si>
  <si>
    <t>SM400</t>
  </si>
  <si>
    <t>SMA400</t>
  </si>
  <si>
    <t>SM400C-H</t>
  </si>
  <si>
    <t>SM490C-H</t>
  </si>
  <si>
    <t>SM490Y</t>
  </si>
  <si>
    <t>SM520</t>
  </si>
  <si>
    <t>SMA490</t>
  </si>
  <si>
    <t>SM520C-H</t>
  </si>
  <si>
    <t>SM570</t>
  </si>
  <si>
    <t>SMA570</t>
  </si>
  <si>
    <t>SM570-H</t>
  </si>
  <si>
    <t>40-75</t>
  </si>
  <si>
    <t>75-100</t>
  </si>
  <si>
    <t>ここに,</t>
  </si>
  <si>
    <t>n : 縦リブによって区分されるPannelの数</t>
  </si>
  <si>
    <t>f : 応力勾配係数</t>
  </si>
  <si>
    <t>φ: 応力勾配</t>
  </si>
  <si>
    <t>* 引張(下)フランジの許容応力度</t>
  </si>
  <si>
    <t>使用 )</t>
  </si>
  <si>
    <t>* 圧縮(上)フランジの許容応力度</t>
  </si>
  <si>
    <t>の場合 : σca =</t>
  </si>
  <si>
    <t>使用 tu =</t>
  </si>
  <si>
    <t>よって,  σca =</t>
  </si>
  <si>
    <t>N/㎟</t>
  </si>
  <si>
    <t>A*Y2( mm⁴)</t>
  </si>
  <si>
    <t>Ix( mm⁴)</t>
  </si>
  <si>
    <t xml:space="preserve"> mm⁴</t>
  </si>
  <si>
    <t>* 許容せん断応力 (N/㎟)</t>
  </si>
  <si>
    <t>* 許容引張応力 (N/㎟)</t>
  </si>
  <si>
    <t>∵ φ = (σ₁- σ₂)/σ₁≒ 0</t>
  </si>
  <si>
    <t>σ₁,σ₂: 補剛された版の両面の応力</t>
  </si>
  <si>
    <t>(但し,σ₁≥ σ₂であり圧縮応力を正(+)にする.)</t>
  </si>
  <si>
    <t>* 許容圧縮応力 (N/㎟)</t>
  </si>
  <si>
    <t>tu  ≥</t>
  </si>
  <si>
    <t>* 補剛された板の局部座屈に対する許容応力 (N/㎟)</t>
  </si>
  <si>
    <t>作用応力度(N/㎟)</t>
  </si>
  <si>
    <t>許容応力度(N/㎟)</t>
  </si>
  <si>
    <t>荷重の組合せ</t>
  </si>
  <si>
    <t>鋼げた</t>
  </si>
  <si>
    <t>備　考</t>
  </si>
  <si>
    <t>安全率</t>
  </si>
  <si>
    <t>上　縁</t>
  </si>
  <si>
    <t>下　縁</t>
  </si>
  <si>
    <t>注) 引張応力度を正(+)、圧縮応力度を負(-)にしてある。</t>
  </si>
  <si>
    <t>( 上　縁 )</t>
  </si>
  <si>
    <t>( 下　縁 )</t>
  </si>
  <si>
    <t>上下フランジ全幅</t>
  </si>
  <si>
    <t xml:space="preserve">  Md : 死荷重による曲げモーメント</t>
  </si>
  <si>
    <t xml:space="preserve">  Sd : 死荷重によるせん断力</t>
  </si>
  <si>
    <r>
      <t xml:space="preserve">  Mdt : 合成前死荷重によるねじりモーメント</t>
    </r>
  </si>
  <si>
    <t>σsu = Md·Ysu / Is  =</t>
  </si>
  <si>
    <t>σsl = Md·Ysl / Is  =</t>
  </si>
  <si>
    <t>τ = Sd / A(Web) + Mdt / (2·F·Tw) =</t>
  </si>
  <si>
    <t>(2) 活荷重</t>
  </si>
  <si>
    <t>(3) せん断及びねじり</t>
  </si>
  <si>
    <t>(4) 組合せ応力の検討</t>
  </si>
  <si>
    <t>1+2</t>
  </si>
  <si>
    <t>(5) 合成応力度の照査</t>
  </si>
  <si>
    <t>&gt; :</t>
  </si>
  <si>
    <t>からの離隔距離</t>
  </si>
  <si>
    <t>m</t>
  </si>
  <si>
    <t>H  =</t>
  </si>
  <si>
    <t>Tu =</t>
  </si>
  <si>
    <t>Tl =</t>
  </si>
  <si>
    <t>Tw =</t>
  </si>
  <si>
    <t>RIB</t>
  </si>
  <si>
    <t>mm</t>
  </si>
  <si>
    <t>-</t>
  </si>
  <si>
    <t>UPPER FLANGE</t>
  </si>
  <si>
    <t>UPPER RIB</t>
  </si>
  <si>
    <t>LOWER RIB</t>
  </si>
  <si>
    <t>LOWER FLANGE</t>
  </si>
  <si>
    <t>Is' = As·Y2 + ∑Is =</t>
  </si>
  <si>
    <t>+</t>
  </si>
  <si>
    <t>=</t>
  </si>
  <si>
    <t>δs = ∑(A·Y)/ As =</t>
  </si>
  <si>
    <t>/</t>
  </si>
  <si>
    <t>Is = Is' - As·δs² =</t>
  </si>
  <si>
    <t>×</t>
  </si>
  <si>
    <t>/ 2</t>
  </si>
  <si>
    <t>(</t>
  </si>
  <si>
    <t>&lt;</t>
  </si>
  <si>
    <t xml:space="preserve">τa = </t>
  </si>
  <si>
    <t>SM490</t>
  </si>
  <si>
    <t>)</t>
  </si>
  <si>
    <t>σta =</t>
  </si>
  <si>
    <t>b</t>
  </si>
  <si>
    <t>·f·n</t>
  </si>
  <si>
    <t>＞</t>
  </si>
  <si>
    <t>b / (tu·f·n)-</t>
  </si>
  <si>
    <t>{ (tu·f·n) / b }²</t>
  </si>
  <si>
    <t>(σ/σa)2</t>
  </si>
  <si>
    <t>σ</t>
  </si>
  <si>
    <t>τ</t>
  </si>
  <si>
    <t>σa</t>
  </si>
  <si>
    <t>τa</t>
  </si>
  <si>
    <r>
      <t>N/</t>
    </r>
    <r>
      <rPr>
        <sz val="9"/>
        <rFont val="굴림체"/>
        <family val="3"/>
      </rPr>
      <t>㎟</t>
    </r>
  </si>
  <si>
    <t xml:space="preserve">  Ml : (活荷重+支点沈下)による曲げモーメント</t>
  </si>
  <si>
    <t xml:space="preserve">  Sl : (活荷重+支点沈下)によるせん断力</t>
  </si>
  <si>
    <t xml:space="preserve">  Mlt : (活荷重+支点沈下)によるねじりモーメント</t>
  </si>
  <si>
    <t>σsu = Ml·Ysu / Is =</t>
  </si>
  <si>
    <t>σsl = Ml·Ysl / Is =</t>
  </si>
  <si>
    <t>τ = Sl / A(Web) + Mlt / (2·F·Tw) =</t>
  </si>
  <si>
    <t>τ= ( Sd + Sl ) / Aw + ( Mdt + Mlt ) / ( 2 F Tw )  =</t>
  </si>
  <si>
    <t>節点</t>
  </si>
  <si>
    <t>1) 断面仮定及び設計諸条件</t>
  </si>
  <si>
    <t>主部材使用鋼種  =</t>
  </si>
  <si>
    <t>UL2=</t>
  </si>
  <si>
    <t>,</t>
  </si>
  <si>
    <t>UR2=</t>
  </si>
  <si>
    <t>m</t>
  </si>
  <si>
    <t>B2 =</t>
  </si>
  <si>
    <t>But=</t>
  </si>
  <si>
    <t>Blt=</t>
  </si>
  <si>
    <t>上下フランジ有効幅</t>
  </si>
  <si>
    <t>Bue=</t>
  </si>
  <si>
    <t>Ble=</t>
  </si>
  <si>
    <t>ㅇ</t>
  </si>
  <si>
    <t>U1 =</t>
  </si>
  <si>
    <t>B1 =</t>
  </si>
  <si>
    <t>x</t>
  </si>
  <si>
    <t>区      分</t>
  </si>
  <si>
    <t xml:space="preserve">単 位 </t>
  </si>
  <si>
    <t>入力データ</t>
  </si>
  <si>
    <t xml:space="preserve">  Es : 鋼のヤング係数</t>
  </si>
  <si>
    <t>kN·m</t>
  </si>
  <si>
    <t>kN</t>
  </si>
  <si>
    <t>断面諸元</t>
  </si>
  <si>
    <t>断   面</t>
  </si>
  <si>
    <t>B(mm)</t>
  </si>
  <si>
    <t>H(mm)</t>
  </si>
  <si>
    <t>A(mm²)</t>
  </si>
  <si>
    <t>Y(mm)</t>
  </si>
  <si>
    <t>A*Y( mm³)</t>
  </si>
  <si>
    <t>L_WEB</t>
  </si>
  <si>
    <t>R_WEB</t>
  </si>
  <si>
    <t>鋼断面合計</t>
  </si>
  <si>
    <t>mm²</t>
  </si>
  <si>
    <t>2) 応力度の照査</t>
  </si>
  <si>
    <t>(1) 合成前</t>
  </si>
  <si>
    <t>mm</t>
  </si>
  <si>
    <t>Ysu = -H/2 - Tu - δs =</t>
  </si>
  <si>
    <t>-</t>
  </si>
  <si>
    <t>Ysl = Ysu + ( H + Tu + Tl ) =</t>
  </si>
  <si>
    <t>+</t>
  </si>
  <si>
    <t>F = b·h = ((UL2 + UR2 + B2) / 2 + Tw)·(H + Tu/2 +Tl/2)</t>
  </si>
  <si>
    <t>=</t>
  </si>
  <si>
    <t xml:space="preserve"> 4.6 断面計算</t>
  </si>
  <si>
    <t xml:space="preserve"> &lt;  断    面 -</t>
  </si>
  <si>
    <r>
      <t>θ</t>
    </r>
    <r>
      <rPr>
        <vertAlign val="subscript"/>
        <sz val="9"/>
        <rFont val="ＭＳ ゴシック"/>
        <family val="3"/>
      </rPr>
      <t>L</t>
    </r>
    <r>
      <rPr>
        <sz val="9"/>
        <rFont val="ＭＳ ゴシック"/>
        <family val="3"/>
      </rPr>
      <t>=</t>
    </r>
  </si>
  <si>
    <r>
      <t>θ</t>
    </r>
    <r>
      <rPr>
        <vertAlign val="subscript"/>
        <sz val="9"/>
        <rFont val="ＭＳ ゴシック"/>
        <family val="3"/>
      </rPr>
      <t>R</t>
    </r>
    <r>
      <rPr>
        <sz val="9"/>
        <rFont val="ＭＳ ゴシック"/>
        <family val="3"/>
      </rPr>
      <t>=</t>
    </r>
  </si>
  <si>
    <r>
      <t>A*Y2( mm</t>
    </r>
    <r>
      <rPr>
        <sz val="9"/>
        <rFont val="굴림체"/>
        <family val="3"/>
      </rPr>
      <t>⁴</t>
    </r>
    <r>
      <rPr>
        <sz val="9"/>
        <rFont val="ＭＳ ゴシック"/>
        <family val="3"/>
      </rPr>
      <t>)</t>
    </r>
  </si>
  <si>
    <r>
      <t>Ix( mm</t>
    </r>
    <r>
      <rPr>
        <sz val="9"/>
        <rFont val="굴림체"/>
        <family val="3"/>
      </rPr>
      <t>⁴</t>
    </r>
    <r>
      <rPr>
        <sz val="9"/>
        <rFont val="ＭＳ ゴシック"/>
        <family val="3"/>
      </rPr>
      <t>)</t>
    </r>
  </si>
  <si>
    <r>
      <t xml:space="preserve"> mm</t>
    </r>
    <r>
      <rPr>
        <sz val="9"/>
        <rFont val="굴림체"/>
        <family val="3"/>
      </rPr>
      <t>⁴</t>
    </r>
  </si>
  <si>
    <r>
      <t>* 許容せん断応力 (N/</t>
    </r>
    <r>
      <rPr>
        <sz val="9"/>
        <rFont val="굴림체"/>
        <family val="3"/>
      </rPr>
      <t>㎟</t>
    </r>
    <r>
      <rPr>
        <sz val="9"/>
        <rFont val="ＭＳ ゴシック"/>
        <family val="3"/>
      </rPr>
      <t>)</t>
    </r>
  </si>
  <si>
    <r>
      <t>f = 0.65(φ/n)</t>
    </r>
    <r>
      <rPr>
        <vertAlign val="superscript"/>
        <sz val="9"/>
        <rFont val="ＭＳ ゴシック"/>
        <family val="3"/>
      </rPr>
      <t>2</t>
    </r>
    <r>
      <rPr>
        <sz val="9"/>
        <rFont val="ＭＳ ゴシック"/>
        <family val="3"/>
      </rPr>
      <t xml:space="preserve"> + 0.13(φ/n) + 1.0</t>
    </r>
  </si>
  <si>
    <r>
      <t>)</t>
    </r>
    <r>
      <rPr>
        <vertAlign val="superscript"/>
        <sz val="9"/>
        <rFont val="ＭＳ ゴシック"/>
        <family val="3"/>
      </rPr>
      <t>2</t>
    </r>
  </si>
  <si>
    <r>
      <t>* 許容引張応力 (N/</t>
    </r>
    <r>
      <rPr>
        <sz val="9"/>
        <rFont val="굴림체"/>
        <family val="3"/>
      </rPr>
      <t>㎟</t>
    </r>
    <r>
      <rPr>
        <sz val="9"/>
        <rFont val="ＭＳ ゴシック"/>
        <family val="3"/>
      </rPr>
      <t>)</t>
    </r>
  </si>
  <si>
    <r>
      <t>∵ φ = (σ</t>
    </r>
    <r>
      <rPr>
        <sz val="9"/>
        <rFont val="굴림체"/>
        <family val="3"/>
      </rPr>
      <t>₁</t>
    </r>
    <r>
      <rPr>
        <sz val="9"/>
        <rFont val="ＭＳ ゴシック"/>
        <family val="3"/>
      </rPr>
      <t>- σ</t>
    </r>
    <r>
      <rPr>
        <sz val="9"/>
        <rFont val="굴림체"/>
        <family val="3"/>
      </rPr>
      <t>₂</t>
    </r>
    <r>
      <rPr>
        <sz val="9"/>
        <rFont val="ＭＳ ゴシック"/>
        <family val="3"/>
      </rPr>
      <t>)/σ</t>
    </r>
    <r>
      <rPr>
        <sz val="9"/>
        <rFont val="굴림체"/>
        <family val="3"/>
      </rPr>
      <t>₁</t>
    </r>
    <r>
      <rPr>
        <sz val="9"/>
        <rFont val="ＭＳ ゴシック"/>
        <family val="3"/>
      </rPr>
      <t>≒ 0</t>
    </r>
  </si>
  <si>
    <r>
      <t>σ</t>
    </r>
    <r>
      <rPr>
        <sz val="9"/>
        <rFont val="굴림체"/>
        <family val="3"/>
      </rPr>
      <t>₁</t>
    </r>
    <r>
      <rPr>
        <sz val="9"/>
        <rFont val="ＭＳ ゴシック"/>
        <family val="3"/>
      </rPr>
      <t>,σ</t>
    </r>
    <r>
      <rPr>
        <sz val="9"/>
        <rFont val="굴림체"/>
        <family val="3"/>
      </rPr>
      <t>₂</t>
    </r>
    <r>
      <rPr>
        <sz val="9"/>
        <rFont val="ＭＳ ゴシック"/>
        <family val="3"/>
      </rPr>
      <t>: 補剛された版の両面の応力</t>
    </r>
  </si>
  <si>
    <r>
      <t>(但し,σ</t>
    </r>
    <r>
      <rPr>
        <sz val="9"/>
        <rFont val="굴림체"/>
        <family val="3"/>
      </rPr>
      <t>₁≥</t>
    </r>
    <r>
      <rPr>
        <sz val="9"/>
        <rFont val="ＭＳ ゴシック"/>
        <family val="3"/>
      </rPr>
      <t xml:space="preserve"> σ</t>
    </r>
    <r>
      <rPr>
        <sz val="9"/>
        <rFont val="굴림체"/>
        <family val="3"/>
      </rPr>
      <t>₂</t>
    </r>
    <r>
      <rPr>
        <sz val="9"/>
        <rFont val="ＭＳ ゴシック"/>
        <family val="3"/>
      </rPr>
      <t>であり圧縮応力を正(+)にする.)</t>
    </r>
  </si>
  <si>
    <r>
      <t>* 許容圧縮応力 (N/</t>
    </r>
    <r>
      <rPr>
        <sz val="9"/>
        <rFont val="굴림체"/>
        <family val="3"/>
      </rPr>
      <t>㎟</t>
    </r>
    <r>
      <rPr>
        <sz val="9"/>
        <rFont val="ＭＳ ゴシック"/>
        <family val="3"/>
      </rPr>
      <t>)</t>
    </r>
  </si>
  <si>
    <r>
      <t xml:space="preserve">tu  </t>
    </r>
    <r>
      <rPr>
        <sz val="9"/>
        <rFont val="굴림체"/>
        <family val="3"/>
      </rPr>
      <t>≥</t>
    </r>
  </si>
  <si>
    <r>
      <t xml:space="preserve">* </t>
    </r>
    <r>
      <rPr>
        <sz val="9"/>
        <rFont val="굴림체"/>
        <family val="3"/>
      </rPr>
      <t>補剛された板の局部座屈に</t>
    </r>
    <r>
      <rPr>
        <sz val="9"/>
        <rFont val="ＭＳ Ｐゴシック"/>
        <family val="3"/>
      </rPr>
      <t>対</t>
    </r>
    <r>
      <rPr>
        <sz val="9"/>
        <rFont val="굴림체"/>
        <family val="3"/>
      </rPr>
      <t>する許容</t>
    </r>
    <r>
      <rPr>
        <sz val="9"/>
        <rFont val="ＭＳ Ｐゴシック"/>
        <family val="3"/>
      </rPr>
      <t>応</t>
    </r>
    <r>
      <rPr>
        <sz val="9"/>
        <rFont val="굴림체"/>
        <family val="3"/>
      </rPr>
      <t>力</t>
    </r>
    <r>
      <rPr>
        <sz val="9"/>
        <rFont val="ＭＳ ゴシック"/>
        <family val="3"/>
      </rPr>
      <t xml:space="preserve"> (N/</t>
    </r>
    <r>
      <rPr>
        <sz val="9"/>
        <rFont val="굴림체"/>
        <family val="3"/>
      </rPr>
      <t>㎟</t>
    </r>
    <r>
      <rPr>
        <sz val="9"/>
        <rFont val="ＭＳ ゴシック"/>
        <family val="3"/>
      </rPr>
      <t>)</t>
    </r>
  </si>
  <si>
    <r>
      <t>作用応力度(N/</t>
    </r>
    <r>
      <rPr>
        <sz val="9"/>
        <rFont val="굴림체"/>
        <family val="3"/>
      </rPr>
      <t>㎟</t>
    </r>
    <r>
      <rPr>
        <sz val="9"/>
        <rFont val="ＭＳ ゴシック"/>
        <family val="3"/>
      </rPr>
      <t>)</t>
    </r>
  </si>
  <si>
    <r>
      <t>許容応力度(N/</t>
    </r>
    <r>
      <rPr>
        <sz val="9"/>
        <rFont val="굴림체"/>
        <family val="3"/>
      </rPr>
      <t>㎟</t>
    </r>
    <r>
      <rPr>
        <sz val="9"/>
        <rFont val="ＭＳ ゴシック"/>
        <family val="3"/>
      </rPr>
      <t>)</t>
    </r>
  </si>
  <si>
    <t>AW</t>
  </si>
  <si>
    <t xml:space="preserve"> 4.6 断面計算</t>
  </si>
  <si>
    <t xml:space="preserve"> &lt;  断    面 -</t>
  </si>
  <si>
    <t>節点</t>
  </si>
  <si>
    <t>1) 断面仮定及び設計諸条件</t>
  </si>
  <si>
    <t>主部材使用鋼種  =</t>
  </si>
  <si>
    <t>SMA490</t>
  </si>
  <si>
    <t>UL2=</t>
  </si>
  <si>
    <t>,</t>
  </si>
  <si>
    <t>UR2=</t>
  </si>
  <si>
    <t>m</t>
  </si>
  <si>
    <t>B2 =</t>
  </si>
  <si>
    <t>上下フランジ全幅</t>
  </si>
  <si>
    <t>But=</t>
  </si>
  <si>
    <t>Blt=</t>
  </si>
  <si>
    <t>上下フランジ有効幅</t>
  </si>
  <si>
    <t>Bue=</t>
  </si>
  <si>
    <t>Ble=</t>
  </si>
  <si>
    <r>
      <t>θ</t>
    </r>
    <r>
      <rPr>
        <vertAlign val="subscript"/>
        <sz val="9"/>
        <rFont val="ＭＳ ゴシック"/>
        <family val="3"/>
      </rPr>
      <t>L</t>
    </r>
    <r>
      <rPr>
        <sz val="9"/>
        <rFont val="ＭＳ ゴシック"/>
        <family val="3"/>
      </rPr>
      <t>=</t>
    </r>
  </si>
  <si>
    <t>ㅇ</t>
  </si>
  <si>
    <r>
      <t>θ</t>
    </r>
    <r>
      <rPr>
        <vertAlign val="subscript"/>
        <sz val="9"/>
        <rFont val="ＭＳ ゴシック"/>
        <family val="3"/>
      </rPr>
      <t>R</t>
    </r>
    <r>
      <rPr>
        <sz val="9"/>
        <rFont val="ＭＳ ゴシック"/>
        <family val="3"/>
      </rPr>
      <t>=</t>
    </r>
  </si>
  <si>
    <t>U1 =</t>
  </si>
  <si>
    <t>B1 =</t>
  </si>
  <si>
    <t>x</t>
  </si>
  <si>
    <t>区      分</t>
  </si>
  <si>
    <t xml:space="preserve">単 位 </t>
  </si>
  <si>
    <t>入力データ</t>
  </si>
  <si>
    <t xml:space="preserve">  Es : 鋼のヤング係数</t>
  </si>
  <si>
    <t xml:space="preserve">  Md : 死荷重による曲げモーメント</t>
  </si>
  <si>
    <t>kN·m</t>
  </si>
  <si>
    <t xml:space="preserve">  Sd : 死荷重によるせん断力</t>
  </si>
  <si>
    <t>kN</t>
  </si>
  <si>
    <r>
      <t xml:space="preserve">  Mdt : 合成前死荷重によるねじりモーメント</t>
    </r>
  </si>
  <si>
    <t>断面諸元</t>
  </si>
  <si>
    <t>断   面</t>
  </si>
  <si>
    <t>B(mm)</t>
  </si>
  <si>
    <t>H(mm)</t>
  </si>
  <si>
    <t>A(mm²)</t>
  </si>
  <si>
    <t>Y(mm)</t>
  </si>
  <si>
    <t>A*Y( mm³)</t>
  </si>
  <si>
    <r>
      <t>A*Y2( mm</t>
    </r>
    <r>
      <rPr>
        <sz val="9"/>
        <rFont val="굴림체"/>
        <family val="3"/>
      </rPr>
      <t>⁴</t>
    </r>
    <r>
      <rPr>
        <sz val="9"/>
        <rFont val="ＭＳ ゴシック"/>
        <family val="3"/>
      </rPr>
      <t>)</t>
    </r>
  </si>
  <si>
    <r>
      <t>Ix( mm</t>
    </r>
    <r>
      <rPr>
        <sz val="9"/>
        <rFont val="굴림체"/>
        <family val="3"/>
      </rPr>
      <t>⁴</t>
    </r>
    <r>
      <rPr>
        <sz val="9"/>
        <rFont val="ＭＳ ゴシック"/>
        <family val="3"/>
      </rPr>
      <t>)</t>
    </r>
  </si>
  <si>
    <t>L_WEB</t>
  </si>
  <si>
    <t>R_WEB</t>
  </si>
  <si>
    <t>鋼断面合計</t>
  </si>
  <si>
    <t>2) 応力度の照査</t>
  </si>
  <si>
    <t>(1) 合成前</t>
  </si>
  <si>
    <r>
      <t xml:space="preserve"> mm</t>
    </r>
    <r>
      <rPr>
        <sz val="9"/>
        <rFont val="굴림체"/>
        <family val="3"/>
      </rPr>
      <t>⁴</t>
    </r>
  </si>
  <si>
    <t>mm</t>
  </si>
  <si>
    <t>Ysu = -H/2 - Tu - δs =</t>
  </si>
  <si>
    <t>-</t>
  </si>
  <si>
    <t>Ysl = Ysu + ( H + Tu + Tl ) =</t>
  </si>
  <si>
    <t>+</t>
  </si>
  <si>
    <t>F = b·h = ((UL2 + UR2 + B2) / 2 + Tw)·(H + Tu/2 +Tl/2)</t>
  </si>
  <si>
    <t>=</t>
  </si>
  <si>
    <t>mm²</t>
  </si>
  <si>
    <t>σsu = Md·Ysu / Is  =</t>
  </si>
  <si>
    <t>σsl = Md·Ysl / Is  =</t>
  </si>
  <si>
    <t>τ = Sd / A(Web) + Mdt / (2·F·Tw) =</t>
  </si>
  <si>
    <t>(2) 活荷重</t>
  </si>
  <si>
    <t>(3) せん断及びねじり</t>
  </si>
  <si>
    <r>
      <t>* 許容せん断応力 (N/</t>
    </r>
    <r>
      <rPr>
        <sz val="9"/>
        <rFont val="굴림체"/>
        <family val="3"/>
      </rPr>
      <t>㎟</t>
    </r>
    <r>
      <rPr>
        <sz val="9"/>
        <rFont val="ＭＳ ゴシック"/>
        <family val="3"/>
      </rPr>
      <t>)</t>
    </r>
  </si>
  <si>
    <t>SS400</t>
  </si>
  <si>
    <t>SM400</t>
  </si>
  <si>
    <t>SMA400</t>
  </si>
  <si>
    <t>SM400C-H</t>
  </si>
  <si>
    <t>SM490C-H</t>
  </si>
  <si>
    <t>SM490Y</t>
  </si>
  <si>
    <t>SM520</t>
  </si>
  <si>
    <t>SM520C-H</t>
  </si>
  <si>
    <t>SM570</t>
  </si>
  <si>
    <t>SMA570</t>
  </si>
  <si>
    <t>SM570-H</t>
  </si>
  <si>
    <t>(4) 組合せ応力の検討</t>
  </si>
  <si>
    <t>40-75</t>
  </si>
  <si>
    <r>
      <t>f = 0.65(φ/n)</t>
    </r>
    <r>
      <rPr>
        <vertAlign val="superscript"/>
        <sz val="9"/>
        <rFont val="ＭＳ ゴシック"/>
        <family val="3"/>
      </rPr>
      <t>2</t>
    </r>
    <r>
      <rPr>
        <sz val="9"/>
        <rFont val="ＭＳ ゴシック"/>
        <family val="3"/>
      </rPr>
      <t xml:space="preserve"> + 0.13(φ/n) + 1.0</t>
    </r>
  </si>
  <si>
    <t>75-100</t>
  </si>
  <si>
    <r>
      <t>)</t>
    </r>
    <r>
      <rPr>
        <vertAlign val="superscript"/>
        <sz val="9"/>
        <rFont val="ＭＳ ゴシック"/>
        <family val="3"/>
      </rPr>
      <t>2</t>
    </r>
  </si>
  <si>
    <r>
      <t>* 許容引張応力 (N/</t>
    </r>
    <r>
      <rPr>
        <sz val="9"/>
        <rFont val="굴림체"/>
        <family val="3"/>
      </rPr>
      <t>㎟</t>
    </r>
    <r>
      <rPr>
        <sz val="9"/>
        <rFont val="ＭＳ ゴシック"/>
        <family val="3"/>
      </rPr>
      <t>)</t>
    </r>
  </si>
  <si>
    <r>
      <t>∵ φ = (σ</t>
    </r>
    <r>
      <rPr>
        <sz val="9"/>
        <rFont val="굴림체"/>
        <family val="3"/>
      </rPr>
      <t>₁</t>
    </r>
    <r>
      <rPr>
        <sz val="9"/>
        <rFont val="ＭＳ ゴシック"/>
        <family val="3"/>
      </rPr>
      <t>- σ</t>
    </r>
    <r>
      <rPr>
        <sz val="9"/>
        <rFont val="굴림체"/>
        <family val="3"/>
      </rPr>
      <t>₂</t>
    </r>
    <r>
      <rPr>
        <sz val="9"/>
        <rFont val="ＭＳ ゴシック"/>
        <family val="3"/>
      </rPr>
      <t>)/σ</t>
    </r>
    <r>
      <rPr>
        <sz val="9"/>
        <rFont val="굴림체"/>
        <family val="3"/>
      </rPr>
      <t>₁</t>
    </r>
    <r>
      <rPr>
        <sz val="9"/>
        <rFont val="ＭＳ ゴシック"/>
        <family val="3"/>
      </rPr>
      <t>≒ 0</t>
    </r>
  </si>
  <si>
    <t>ここに,</t>
  </si>
  <si>
    <t>n : 縦リブによって区分されるPannelの数</t>
  </si>
  <si>
    <t>f : 応力勾配係数</t>
  </si>
  <si>
    <t>φ: 応力勾配</t>
  </si>
  <si>
    <r>
      <t>σ</t>
    </r>
    <r>
      <rPr>
        <sz val="9"/>
        <rFont val="굴림체"/>
        <family val="3"/>
      </rPr>
      <t>₁</t>
    </r>
    <r>
      <rPr>
        <sz val="9"/>
        <rFont val="ＭＳ ゴシック"/>
        <family val="3"/>
      </rPr>
      <t>,σ</t>
    </r>
    <r>
      <rPr>
        <sz val="9"/>
        <rFont val="굴림체"/>
        <family val="3"/>
      </rPr>
      <t>₂</t>
    </r>
    <r>
      <rPr>
        <sz val="9"/>
        <rFont val="ＭＳ ゴシック"/>
        <family val="3"/>
      </rPr>
      <t>: 補剛された版の両面の応力</t>
    </r>
  </si>
  <si>
    <r>
      <t>(但し,σ</t>
    </r>
    <r>
      <rPr>
        <sz val="9"/>
        <rFont val="굴림체"/>
        <family val="3"/>
      </rPr>
      <t>₁≥</t>
    </r>
    <r>
      <rPr>
        <sz val="9"/>
        <rFont val="ＭＳ ゴシック"/>
        <family val="3"/>
      </rPr>
      <t xml:space="preserve"> σ</t>
    </r>
    <r>
      <rPr>
        <sz val="9"/>
        <rFont val="굴림체"/>
        <family val="3"/>
      </rPr>
      <t>₂</t>
    </r>
    <r>
      <rPr>
        <sz val="9"/>
        <rFont val="ＭＳ ゴシック"/>
        <family val="3"/>
      </rPr>
      <t>であり圧縮応力を正(+)にする.)</t>
    </r>
  </si>
  <si>
    <r>
      <t>* 許容圧縮応力 (N/</t>
    </r>
    <r>
      <rPr>
        <sz val="9"/>
        <rFont val="굴림체"/>
        <family val="3"/>
      </rPr>
      <t>㎟</t>
    </r>
    <r>
      <rPr>
        <sz val="9"/>
        <rFont val="ＭＳ ゴシック"/>
        <family val="3"/>
      </rPr>
      <t>)</t>
    </r>
  </si>
  <si>
    <t>* 引張(下)フランジの許容応力度</t>
  </si>
  <si>
    <t>使用 )</t>
  </si>
  <si>
    <t>* 圧縮(上)フランジの許容応力度</t>
  </si>
  <si>
    <r>
      <t>* 補剛された板の局部座屈に対する許容応力 (N/</t>
    </r>
    <r>
      <rPr>
        <sz val="9"/>
        <rFont val="굴림체"/>
        <family val="3"/>
      </rPr>
      <t>㎟</t>
    </r>
    <r>
      <rPr>
        <sz val="9"/>
        <rFont val="ＭＳ ゴシック"/>
        <family val="3"/>
      </rPr>
      <t>)</t>
    </r>
  </si>
  <si>
    <t>の場合 : σca =</t>
  </si>
  <si>
    <t>使用 tu =</t>
  </si>
  <si>
    <t>よって,  σca =</t>
  </si>
  <si>
    <t>荷重の組合せ</t>
  </si>
  <si>
    <t>鋼げた</t>
  </si>
  <si>
    <t>備　考</t>
  </si>
  <si>
    <r>
      <t>作用応力度(N/</t>
    </r>
    <r>
      <rPr>
        <sz val="9"/>
        <rFont val="굴림체"/>
        <family val="3"/>
      </rPr>
      <t>㎟</t>
    </r>
    <r>
      <rPr>
        <sz val="9"/>
        <rFont val="ＭＳ ゴシック"/>
        <family val="3"/>
      </rPr>
      <t>)</t>
    </r>
  </si>
  <si>
    <r>
      <t>許容応力度(N/</t>
    </r>
    <r>
      <rPr>
        <sz val="9"/>
        <rFont val="굴림체"/>
        <family val="3"/>
      </rPr>
      <t>㎟</t>
    </r>
    <r>
      <rPr>
        <sz val="9"/>
        <rFont val="ＭＳ ゴシック"/>
        <family val="3"/>
      </rPr>
      <t>)</t>
    </r>
  </si>
  <si>
    <t>安全率</t>
  </si>
  <si>
    <t>上　縁</t>
  </si>
  <si>
    <t>下　縁</t>
  </si>
  <si>
    <t>1+2</t>
  </si>
  <si>
    <t>注) 引張応力度を正(+)、圧縮応力度を負(-)にしてある。</t>
  </si>
  <si>
    <t>(5) 合成応力度の照査</t>
  </si>
  <si>
    <t>( 上　縁 )</t>
  </si>
  <si>
    <t>( 下　縁 )</t>
  </si>
  <si>
    <t xml:space="preserve"> &lt; J -</t>
  </si>
  <si>
    <r>
      <t>θ</t>
    </r>
    <r>
      <rPr>
        <vertAlign val="subscript"/>
        <sz val="9"/>
        <rFont val="ＭＳ ゴシック"/>
        <family val="3"/>
      </rPr>
      <t>L</t>
    </r>
    <r>
      <rPr>
        <sz val="9"/>
        <rFont val="ＭＳ ゴシック"/>
        <family val="3"/>
      </rPr>
      <t>=</t>
    </r>
  </si>
  <si>
    <r>
      <t>θ</t>
    </r>
    <r>
      <rPr>
        <vertAlign val="subscript"/>
        <sz val="9"/>
        <rFont val="ＭＳ ゴシック"/>
        <family val="3"/>
      </rPr>
      <t>R</t>
    </r>
    <r>
      <rPr>
        <sz val="9"/>
        <rFont val="ＭＳ ゴシック"/>
        <family val="3"/>
      </rPr>
      <t>=</t>
    </r>
  </si>
  <si>
    <r>
      <t>f = 0.65(φ/n)</t>
    </r>
    <r>
      <rPr>
        <vertAlign val="superscript"/>
        <sz val="9"/>
        <rFont val="ＭＳ ゴシック"/>
        <family val="3"/>
      </rPr>
      <t>2</t>
    </r>
    <r>
      <rPr>
        <sz val="9"/>
        <rFont val="ＭＳ ゴシック"/>
        <family val="3"/>
      </rPr>
      <t xml:space="preserve"> + 0.13(φ/n) + 1.0</t>
    </r>
  </si>
  <si>
    <r>
      <t>)</t>
    </r>
    <r>
      <rPr>
        <vertAlign val="superscript"/>
        <sz val="9"/>
        <rFont val="ＭＳ ゴシック"/>
        <family val="3"/>
      </rPr>
      <t>2</t>
    </r>
  </si>
  <si>
    <r>
      <t>θ</t>
    </r>
    <r>
      <rPr>
        <vertAlign val="subscript"/>
        <sz val="9"/>
        <rFont val="ＭＳ ゴシック"/>
        <family val="3"/>
      </rPr>
      <t>L</t>
    </r>
    <r>
      <rPr>
        <sz val="9"/>
        <rFont val="ＭＳ ゴシック"/>
        <family val="3"/>
      </rPr>
      <t>=</t>
    </r>
  </si>
  <si>
    <r>
      <t>θ</t>
    </r>
    <r>
      <rPr>
        <vertAlign val="subscript"/>
        <sz val="9"/>
        <rFont val="ＭＳ ゴシック"/>
        <family val="3"/>
      </rPr>
      <t>R</t>
    </r>
    <r>
      <rPr>
        <sz val="9"/>
        <rFont val="ＭＳ ゴシック"/>
        <family val="3"/>
      </rPr>
      <t>=</t>
    </r>
  </si>
  <si>
    <r>
      <t>f = 0.65(φ/n)</t>
    </r>
    <r>
      <rPr>
        <vertAlign val="superscript"/>
        <sz val="9"/>
        <rFont val="ＭＳ ゴシック"/>
        <family val="3"/>
      </rPr>
      <t>2</t>
    </r>
    <r>
      <rPr>
        <sz val="9"/>
        <rFont val="ＭＳ ゴシック"/>
        <family val="3"/>
      </rPr>
      <t xml:space="preserve"> + 0.13(φ/n) + 1.0</t>
    </r>
  </si>
  <si>
    <r>
      <t>)</t>
    </r>
    <r>
      <rPr>
        <vertAlign val="superscript"/>
        <sz val="9"/>
        <rFont val="ＭＳ ゴシック"/>
        <family val="3"/>
      </rPr>
      <t>2</t>
    </r>
  </si>
  <si>
    <r>
      <t>θ</t>
    </r>
    <r>
      <rPr>
        <vertAlign val="subscript"/>
        <sz val="9"/>
        <rFont val="ＭＳ ゴシック"/>
        <family val="3"/>
      </rPr>
      <t>L</t>
    </r>
    <r>
      <rPr>
        <sz val="9"/>
        <rFont val="ＭＳ ゴシック"/>
        <family val="3"/>
      </rPr>
      <t>=</t>
    </r>
  </si>
  <si>
    <r>
      <t>θ</t>
    </r>
    <r>
      <rPr>
        <vertAlign val="subscript"/>
        <sz val="9"/>
        <rFont val="ＭＳ ゴシック"/>
        <family val="3"/>
      </rPr>
      <t>R</t>
    </r>
    <r>
      <rPr>
        <sz val="9"/>
        <rFont val="ＭＳ ゴシック"/>
        <family val="3"/>
      </rPr>
      <t>=</t>
    </r>
  </si>
  <si>
    <r>
      <t>f = 0.65(φ/n)</t>
    </r>
    <r>
      <rPr>
        <vertAlign val="superscript"/>
        <sz val="9"/>
        <rFont val="ＭＳ ゴシック"/>
        <family val="3"/>
      </rPr>
      <t>2</t>
    </r>
    <r>
      <rPr>
        <sz val="9"/>
        <rFont val="ＭＳ ゴシック"/>
        <family val="3"/>
      </rPr>
      <t xml:space="preserve"> + 0.13(φ/n) + 1.0</t>
    </r>
  </si>
  <si>
    <r>
      <t>)</t>
    </r>
    <r>
      <rPr>
        <vertAlign val="superscript"/>
        <sz val="9"/>
        <rFont val="ＭＳ ゴシック"/>
        <family val="3"/>
      </rPr>
      <t>2</t>
    </r>
  </si>
  <si>
    <r>
      <t>θ</t>
    </r>
    <r>
      <rPr>
        <vertAlign val="subscript"/>
        <sz val="9"/>
        <rFont val="ＭＳ ゴシック"/>
        <family val="3"/>
      </rPr>
      <t>L</t>
    </r>
    <r>
      <rPr>
        <sz val="9"/>
        <rFont val="ＭＳ ゴシック"/>
        <family val="3"/>
      </rPr>
      <t>=</t>
    </r>
  </si>
  <si>
    <r>
      <t>θ</t>
    </r>
    <r>
      <rPr>
        <vertAlign val="subscript"/>
        <sz val="9"/>
        <rFont val="ＭＳ ゴシック"/>
        <family val="3"/>
      </rPr>
      <t>R</t>
    </r>
    <r>
      <rPr>
        <sz val="9"/>
        <rFont val="ＭＳ ゴシック"/>
        <family val="3"/>
      </rPr>
      <t>=</t>
    </r>
  </si>
  <si>
    <r>
      <t>f = 0.65(φ/n)</t>
    </r>
    <r>
      <rPr>
        <vertAlign val="superscript"/>
        <sz val="9"/>
        <rFont val="ＭＳ ゴシック"/>
        <family val="3"/>
      </rPr>
      <t>2</t>
    </r>
    <r>
      <rPr>
        <sz val="9"/>
        <rFont val="ＭＳ ゴシック"/>
        <family val="3"/>
      </rPr>
      <t xml:space="preserve"> + 0.13(φ/n) + 1.0</t>
    </r>
  </si>
  <si>
    <r>
      <t>)</t>
    </r>
    <r>
      <rPr>
        <vertAlign val="superscript"/>
        <sz val="9"/>
        <rFont val="ＭＳ ゴシック"/>
        <family val="3"/>
      </rPr>
      <t>2</t>
    </r>
  </si>
  <si>
    <r>
      <t>θ</t>
    </r>
    <r>
      <rPr>
        <vertAlign val="subscript"/>
        <sz val="9"/>
        <rFont val="ＭＳ ゴシック"/>
        <family val="3"/>
      </rPr>
      <t>L</t>
    </r>
    <r>
      <rPr>
        <sz val="9"/>
        <rFont val="ＭＳ ゴシック"/>
        <family val="3"/>
      </rPr>
      <t>=</t>
    </r>
  </si>
  <si>
    <r>
      <t>θ</t>
    </r>
    <r>
      <rPr>
        <vertAlign val="subscript"/>
        <sz val="9"/>
        <rFont val="ＭＳ ゴシック"/>
        <family val="3"/>
      </rPr>
      <t>R</t>
    </r>
    <r>
      <rPr>
        <sz val="9"/>
        <rFont val="ＭＳ ゴシック"/>
        <family val="3"/>
      </rPr>
      <t>=</t>
    </r>
  </si>
  <si>
    <r>
      <t>f = 0.65(φ/n)</t>
    </r>
    <r>
      <rPr>
        <vertAlign val="superscript"/>
        <sz val="9"/>
        <rFont val="ＭＳ ゴシック"/>
        <family val="3"/>
      </rPr>
      <t>2</t>
    </r>
    <r>
      <rPr>
        <sz val="9"/>
        <rFont val="ＭＳ ゴシック"/>
        <family val="3"/>
      </rPr>
      <t xml:space="preserve"> + 0.13(φ/n) + 1.0</t>
    </r>
  </si>
  <si>
    <r>
      <t>)</t>
    </r>
    <r>
      <rPr>
        <vertAlign val="superscript"/>
        <sz val="9"/>
        <rFont val="ＭＳ ゴシック"/>
        <family val="3"/>
      </rPr>
      <t>2</t>
    </r>
  </si>
  <si>
    <r>
      <t>θ</t>
    </r>
    <r>
      <rPr>
        <vertAlign val="subscript"/>
        <sz val="9"/>
        <rFont val="ＭＳ ゴシック"/>
        <family val="3"/>
      </rPr>
      <t>L</t>
    </r>
    <r>
      <rPr>
        <sz val="9"/>
        <rFont val="ＭＳ ゴシック"/>
        <family val="3"/>
      </rPr>
      <t>=</t>
    </r>
  </si>
  <si>
    <r>
      <t>θ</t>
    </r>
    <r>
      <rPr>
        <vertAlign val="subscript"/>
        <sz val="9"/>
        <rFont val="ＭＳ ゴシック"/>
        <family val="3"/>
      </rPr>
      <t>R</t>
    </r>
    <r>
      <rPr>
        <sz val="9"/>
        <rFont val="ＭＳ ゴシック"/>
        <family val="3"/>
      </rPr>
      <t>=</t>
    </r>
  </si>
  <si>
    <r>
      <t>f = 0.65(φ/n)</t>
    </r>
    <r>
      <rPr>
        <vertAlign val="superscript"/>
        <sz val="9"/>
        <rFont val="ＭＳ ゴシック"/>
        <family val="3"/>
      </rPr>
      <t>2</t>
    </r>
    <r>
      <rPr>
        <sz val="9"/>
        <rFont val="ＭＳ ゴシック"/>
        <family val="3"/>
      </rPr>
      <t xml:space="preserve"> + 0.13(φ/n) + 1.0</t>
    </r>
  </si>
  <si>
    <r>
      <t>)</t>
    </r>
    <r>
      <rPr>
        <vertAlign val="superscript"/>
        <sz val="9"/>
        <rFont val="ＭＳ ゴシック"/>
        <family val="3"/>
      </rPr>
      <t>2</t>
    </r>
  </si>
  <si>
    <t>4.8 断面構成図</t>
  </si>
</sst>
</file>

<file path=xl/styles.xml><?xml version="1.0" encoding="utf-8"?>
<styleSheet xmlns="http://schemas.openxmlformats.org/spreadsheetml/2006/main">
  <numFmts count="6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.000\ "/>
    <numFmt numFmtId="185" formatCode="0.00000"/>
    <numFmt numFmtId="186" formatCode="0.000000"/>
    <numFmt numFmtId="187" formatCode="0.0"/>
    <numFmt numFmtId="188" formatCode="0.000&quot;²&quot;"/>
    <numFmt numFmtId="189" formatCode="\)&quot;²&quot;\+\ \ \("/>
    <numFmt numFmtId="190" formatCode="\)&quot;²&quot;"/>
    <numFmt numFmtId="191" formatCode="0.0000\ "/>
    <numFmt numFmtId="192" formatCode="0\ "/>
    <numFmt numFmtId="193" formatCode="0.00\ "/>
    <numFmt numFmtId="194" formatCode="0.0\ "/>
    <numFmt numFmtId="195" formatCode="0.00_);[Red]\(0.00\)"/>
    <numFmt numFmtId="196" formatCode="###0.000"/>
    <numFmt numFmtId="197" formatCode="0."/>
    <numFmt numFmtId="198" formatCode="0.000"/>
    <numFmt numFmtId="199" formatCode="0_ "/>
    <numFmt numFmtId="200" formatCode="0.0_);[Red]\(0.0\)"/>
    <numFmt numFmtId="201" formatCode="###0"/>
    <numFmt numFmtId="202" formatCode="0.0_ "/>
    <numFmt numFmtId="203" formatCode="0.000_);[Red]\(0.000\)"/>
    <numFmt numFmtId="204" formatCode="###0.00000"/>
    <numFmt numFmtId="205" formatCode="###0.000000"/>
    <numFmt numFmtId="206" formatCode="0_);[Red]\(0\)"/>
    <numFmt numFmtId="207" formatCode="0.000_ "/>
    <numFmt numFmtId="208" formatCode="_(&quot;$&quot;* #,##0_);_(&quot;$&quot;* \(#,##0\);_(&quot;$&quot;* &quot;-&quot;_);_(@_)"/>
    <numFmt numFmtId="209" formatCode="&quot;H&quot;0"/>
    <numFmt numFmtId="210" formatCode="0.00&quot; ㎠&quot;"/>
    <numFmt numFmtId="211" formatCode="&quot;T = &quot;0&quot; ㎝&quot;"/>
    <numFmt numFmtId="212" formatCode="&quot;1＋&quot;0.000"/>
    <numFmt numFmtId="213" formatCode="&quot;S =&quot;\ 0.00&quot;%&quot;"/>
    <numFmt numFmtId="214" formatCode="0.00_ "/>
    <numFmt numFmtId="215" formatCode="0.00000_ "/>
    <numFmt numFmtId="216" formatCode="0.00&quot; %&quot;"/>
    <numFmt numFmtId="217" formatCode="0.0000_ "/>
    <numFmt numFmtId="218" formatCode="0.0000_);[Red]\(0.0000\)"/>
    <numFmt numFmtId="219" formatCode="0.0&quot;²&quot;"/>
    <numFmt numFmtId="220" formatCode="0.0&quot;³&quot;"/>
    <numFmt numFmtId="221" formatCode="0.0&quot; ³&quot;"/>
    <numFmt numFmtId="222" formatCode="&quot;(&quot;0&quot;)&quot;"/>
    <numFmt numFmtId="223" formatCode="0.00000_);[Red]\(0.00000\)"/>
    <numFmt numFmtId="224" formatCode="#,##0.000\ "/>
  </numFmts>
  <fonts count="20">
    <font>
      <sz val="11"/>
      <name val="돋움"/>
      <family val="2"/>
    </font>
    <font>
      <u val="single"/>
      <sz val="11"/>
      <color indexed="36"/>
      <name val="돋움"/>
      <family val="2"/>
    </font>
    <font>
      <u val="single"/>
      <sz val="11"/>
      <color indexed="12"/>
      <name val="돋움"/>
      <family val="2"/>
    </font>
    <font>
      <sz val="8"/>
      <name val="돋움"/>
      <family val="2"/>
    </font>
    <font>
      <sz val="9"/>
      <color indexed="8"/>
      <name val="굴림체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9"/>
      <name val="굴림체"/>
      <family val="3"/>
    </font>
    <font>
      <sz val="9"/>
      <name val="ＭＳ Ｐゴシック"/>
      <family val="3"/>
    </font>
    <font>
      <sz val="12"/>
      <name val="바탕체"/>
      <family val="3"/>
    </font>
    <font>
      <sz val="10"/>
      <name val="굴림체"/>
      <family val="3"/>
    </font>
    <font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9"/>
      <name val="ＭＳ ゴシック"/>
      <family val="3"/>
    </font>
    <font>
      <vertAlign val="subscript"/>
      <sz val="9"/>
      <name val="ＭＳ ゴシック"/>
      <family val="3"/>
    </font>
    <font>
      <vertAlign val="superscript"/>
      <sz val="9"/>
      <name val="돋움체"/>
      <family val="3"/>
    </font>
    <font>
      <sz val="9"/>
      <name val="돋움"/>
      <family val="2"/>
    </font>
    <font>
      <vertAlign val="superscript"/>
      <sz val="9"/>
      <name val="ＭＳ ゴシック"/>
      <family val="3"/>
    </font>
    <font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0" fontId="10" fillId="0" borderId="0">
      <alignment/>
      <protection locked="0"/>
    </xf>
    <xf numFmtId="41" fontId="11" fillId="0" borderId="0" applyFont="0" applyFill="0" applyBorder="0" applyAlignment="0" applyProtection="0"/>
    <xf numFmtId="209" fontId="10" fillId="0" borderId="0">
      <alignment/>
      <protection locked="0"/>
    </xf>
    <xf numFmtId="210" fontId="10" fillId="0" borderId="0">
      <alignment/>
      <protection locked="0"/>
    </xf>
    <xf numFmtId="208" fontId="11" fillId="0" borderId="0" applyFont="0" applyFill="0" applyBorder="0" applyAlignment="0" applyProtection="0"/>
    <xf numFmtId="209" fontId="10" fillId="0" borderId="0">
      <alignment/>
      <protection locked="0"/>
    </xf>
    <xf numFmtId="210" fontId="10" fillId="0" borderId="0">
      <alignment/>
      <protection locked="0"/>
    </xf>
    <xf numFmtId="210" fontId="10" fillId="0" borderId="0">
      <alignment/>
      <protection locked="0"/>
    </xf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210" fontId="10" fillId="0" borderId="0">
      <alignment/>
      <protection locked="0"/>
    </xf>
    <xf numFmtId="210" fontId="10" fillId="0" borderId="0">
      <alignment/>
      <protection locked="0"/>
    </xf>
    <xf numFmtId="0" fontId="13" fillId="0" borderId="0">
      <alignment/>
      <protection/>
    </xf>
    <xf numFmtId="210" fontId="10" fillId="0" borderId="0">
      <alignment/>
      <protection locked="0"/>
    </xf>
    <xf numFmtId="210" fontId="10" fillId="0" borderId="3">
      <alignment/>
      <protection locked="0"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1" fontId="9" fillId="0" borderId="0" applyFont="0" applyFill="0" applyBorder="0" applyAlignment="0" applyProtection="0"/>
    <xf numFmtId="211" fontId="10" fillId="0" borderId="0" applyFont="0" applyFill="0" applyBorder="0" applyAlignment="0" applyProtection="0"/>
  </cellStyleXfs>
  <cellXfs count="332">
    <xf numFmtId="0" fontId="0" fillId="0" borderId="0" xfId="0" applyAlignment="1">
      <alignment/>
    </xf>
    <xf numFmtId="184" fontId="5" fillId="0" borderId="0" xfId="0" applyNumberFormat="1" applyFont="1" applyFill="1" applyAlignment="1">
      <alignment horizontal="centerContinuous" vertical="center"/>
    </xf>
    <xf numFmtId="184" fontId="5" fillId="0" borderId="0" xfId="0" applyNumberFormat="1" applyFont="1" applyFill="1" applyAlignment="1">
      <alignment horizontal="left" vertical="center"/>
    </xf>
    <xf numFmtId="184" fontId="5" fillId="0" borderId="0" xfId="0" applyNumberFormat="1" applyFont="1" applyFill="1" applyAlignment="1">
      <alignment vertical="center"/>
    </xf>
    <xf numFmtId="191" fontId="5" fillId="0" borderId="4" xfId="0" applyNumberFormat="1" applyFont="1" applyBorder="1" applyAlignment="1">
      <alignment horizontal="left" vertical="center"/>
    </xf>
    <xf numFmtId="184" fontId="5" fillId="0" borderId="4" xfId="0" applyNumberFormat="1" applyFont="1" applyBorder="1" applyAlignment="1">
      <alignment horizontal="left" vertical="center"/>
    </xf>
    <xf numFmtId="184" fontId="5" fillId="0" borderId="5" xfId="0" applyNumberFormat="1" applyFont="1" applyBorder="1" applyAlignment="1">
      <alignment horizontal="left" vertical="center"/>
    </xf>
    <xf numFmtId="184" fontId="5" fillId="0" borderId="0" xfId="0" applyNumberFormat="1" applyFont="1" applyBorder="1" applyAlignment="1">
      <alignment horizontal="left" vertical="center"/>
    </xf>
    <xf numFmtId="184" fontId="5" fillId="0" borderId="4" xfId="0" applyNumberFormat="1" applyFont="1" applyFill="1" applyBorder="1" applyAlignment="1">
      <alignment horizontal="left" vertical="center"/>
    </xf>
    <xf numFmtId="184" fontId="5" fillId="0" borderId="0" xfId="0" applyNumberFormat="1" applyFont="1" applyFill="1" applyAlignment="1">
      <alignment horizontal="centerContinuous" vertical="center"/>
    </xf>
    <xf numFmtId="184" fontId="5" fillId="0" borderId="0" xfId="0" applyNumberFormat="1" applyFont="1" applyFill="1" applyAlignment="1">
      <alignment horizontal="left" vertical="center"/>
    </xf>
    <xf numFmtId="184" fontId="5" fillId="0" borderId="0" xfId="0" applyNumberFormat="1" applyFont="1" applyFill="1" applyAlignment="1">
      <alignment vertical="center"/>
    </xf>
    <xf numFmtId="191" fontId="5" fillId="0" borderId="4" xfId="0" applyNumberFormat="1" applyFont="1" applyBorder="1" applyAlignment="1">
      <alignment horizontal="left" vertical="center"/>
    </xf>
    <xf numFmtId="184" fontId="5" fillId="0" borderId="4" xfId="0" applyNumberFormat="1" applyFont="1" applyBorder="1" applyAlignment="1">
      <alignment horizontal="left" vertical="center"/>
    </xf>
    <xf numFmtId="184" fontId="5" fillId="0" borderId="5" xfId="0" applyNumberFormat="1" applyFont="1" applyBorder="1" applyAlignment="1">
      <alignment horizontal="left" vertical="center"/>
    </xf>
    <xf numFmtId="184" fontId="5" fillId="0" borderId="0" xfId="0" applyNumberFormat="1" applyFont="1" applyBorder="1" applyAlignment="1">
      <alignment horizontal="left" vertical="center"/>
    </xf>
    <xf numFmtId="192" fontId="5" fillId="0" borderId="6" xfId="0" applyNumberFormat="1" applyFont="1" applyBorder="1" applyAlignment="1">
      <alignment horizontal="center" vertical="center"/>
    </xf>
    <xf numFmtId="192" fontId="5" fillId="0" borderId="7" xfId="0" applyNumberFormat="1" applyFont="1" applyBorder="1" applyAlignment="1">
      <alignment horizontal="center" vertical="center"/>
    </xf>
    <xf numFmtId="192" fontId="5" fillId="0" borderId="6" xfId="0" applyNumberFormat="1" applyFont="1" applyFill="1" applyBorder="1" applyAlignment="1">
      <alignment horizontal="center" vertical="center"/>
    </xf>
    <xf numFmtId="192" fontId="5" fillId="0" borderId="8" xfId="0" applyNumberFormat="1" applyFont="1" applyBorder="1" applyAlignment="1">
      <alignment horizontal="center" vertical="center"/>
    </xf>
    <xf numFmtId="192" fontId="5" fillId="0" borderId="2" xfId="0" applyNumberFormat="1" applyFont="1" applyBorder="1" applyAlignment="1">
      <alignment horizontal="center" vertical="center"/>
    </xf>
    <xf numFmtId="192" fontId="5" fillId="0" borderId="9" xfId="0" applyNumberFormat="1" applyFont="1" applyBorder="1" applyAlignment="1">
      <alignment horizontal="center" vertical="center"/>
    </xf>
    <xf numFmtId="194" fontId="5" fillId="0" borderId="6" xfId="0" applyNumberFormat="1" applyFont="1" applyBorder="1" applyAlignment="1">
      <alignment horizontal="center" vertical="center"/>
    </xf>
    <xf numFmtId="194" fontId="5" fillId="0" borderId="7" xfId="0" applyNumberFormat="1" applyFont="1" applyBorder="1" applyAlignment="1">
      <alignment horizontal="center" vertical="center"/>
    </xf>
    <xf numFmtId="194" fontId="5" fillId="0" borderId="6" xfId="0" applyNumberFormat="1" applyFont="1" applyFill="1" applyBorder="1" applyAlignment="1">
      <alignment horizontal="center" vertical="center"/>
    </xf>
    <xf numFmtId="184" fontId="5" fillId="0" borderId="8" xfId="0" applyNumberFormat="1" applyFont="1" applyBorder="1" applyAlignment="1">
      <alignment horizontal="center" vertical="center"/>
    </xf>
    <xf numFmtId="184" fontId="5" fillId="0" borderId="2" xfId="0" applyNumberFormat="1" applyFont="1" applyBorder="1" applyAlignment="1">
      <alignment horizontal="center" vertical="center"/>
    </xf>
    <xf numFmtId="184" fontId="5" fillId="0" borderId="9" xfId="0" applyNumberFormat="1" applyFont="1" applyBorder="1" applyAlignment="1">
      <alignment horizontal="center" vertical="center"/>
    </xf>
    <xf numFmtId="184" fontId="5" fillId="0" borderId="8" xfId="0" applyNumberFormat="1" applyFont="1" applyFill="1" applyBorder="1" applyAlignment="1">
      <alignment horizontal="center" vertical="center"/>
    </xf>
    <xf numFmtId="184" fontId="5" fillId="0" borderId="2" xfId="0" applyNumberFormat="1" applyFont="1" applyFill="1" applyBorder="1" applyAlignment="1">
      <alignment horizontal="center" vertical="center"/>
    </xf>
    <xf numFmtId="184" fontId="5" fillId="0" borderId="9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184" fontId="5" fillId="0" borderId="0" xfId="0" applyNumberFormat="1" applyFont="1" applyFill="1" applyAlignment="1">
      <alignment horizontal="center" vertical="center"/>
    </xf>
    <xf numFmtId="192" fontId="5" fillId="0" borderId="6" xfId="0" applyNumberFormat="1" applyFont="1" applyBorder="1" applyAlignment="1">
      <alignment horizontal="center" vertical="center"/>
    </xf>
    <xf numFmtId="192" fontId="5" fillId="0" borderId="7" xfId="0" applyNumberFormat="1" applyFont="1" applyBorder="1" applyAlignment="1">
      <alignment horizontal="center" vertical="center"/>
    </xf>
    <xf numFmtId="192" fontId="5" fillId="0" borderId="8" xfId="0" applyNumberFormat="1" applyFont="1" applyBorder="1" applyAlignment="1">
      <alignment horizontal="center" vertical="center"/>
    </xf>
    <xf numFmtId="192" fontId="5" fillId="0" borderId="2" xfId="0" applyNumberFormat="1" applyFont="1" applyBorder="1" applyAlignment="1">
      <alignment horizontal="center" vertical="center"/>
    </xf>
    <xf numFmtId="192" fontId="5" fillId="0" borderId="9" xfId="0" applyNumberFormat="1" applyFont="1" applyBorder="1" applyAlignment="1">
      <alignment horizontal="center" vertical="center"/>
    </xf>
    <xf numFmtId="192" fontId="5" fillId="0" borderId="6" xfId="0" applyNumberFormat="1" applyFont="1" applyFill="1" applyBorder="1" applyAlignment="1">
      <alignment horizontal="center" vertical="center"/>
    </xf>
    <xf numFmtId="194" fontId="5" fillId="0" borderId="6" xfId="0" applyNumberFormat="1" applyFont="1" applyBorder="1" applyAlignment="1">
      <alignment horizontal="center" vertical="center"/>
    </xf>
    <xf numFmtId="194" fontId="5" fillId="0" borderId="7" xfId="0" applyNumberFormat="1" applyFont="1" applyBorder="1" applyAlignment="1">
      <alignment horizontal="center" vertical="center"/>
    </xf>
    <xf numFmtId="194" fontId="5" fillId="0" borderId="6" xfId="0" applyNumberFormat="1" applyFont="1" applyFill="1" applyBorder="1" applyAlignment="1">
      <alignment horizontal="center" vertical="center"/>
    </xf>
    <xf numFmtId="184" fontId="5" fillId="0" borderId="8" xfId="0" applyNumberFormat="1" applyFont="1" applyBorder="1" applyAlignment="1">
      <alignment horizontal="center" vertical="center"/>
    </xf>
    <xf numFmtId="184" fontId="5" fillId="0" borderId="2" xfId="0" applyNumberFormat="1" applyFont="1" applyBorder="1" applyAlignment="1">
      <alignment horizontal="center" vertical="center"/>
    </xf>
    <xf numFmtId="184" fontId="5" fillId="0" borderId="9" xfId="0" applyNumberFormat="1" applyFont="1" applyBorder="1" applyAlignment="1">
      <alignment horizontal="center" vertical="center"/>
    </xf>
    <xf numFmtId="184" fontId="5" fillId="0" borderId="8" xfId="0" applyNumberFormat="1" applyFont="1" applyFill="1" applyBorder="1" applyAlignment="1">
      <alignment horizontal="center" vertical="center"/>
    </xf>
    <xf numFmtId="184" fontId="5" fillId="0" borderId="2" xfId="0" applyNumberFormat="1" applyFont="1" applyFill="1" applyBorder="1" applyAlignment="1">
      <alignment horizontal="center" vertical="center"/>
    </xf>
    <xf numFmtId="184" fontId="5" fillId="0" borderId="9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184" fontId="5" fillId="0" borderId="0" xfId="0" applyNumberFormat="1" applyFont="1" applyFill="1" applyAlignment="1">
      <alignment horizontal="center" vertical="center"/>
    </xf>
    <xf numFmtId="184" fontId="14" fillId="0" borderId="0" xfId="0" applyNumberFormat="1" applyFont="1" applyAlignment="1">
      <alignment vertical="center"/>
    </xf>
    <xf numFmtId="184" fontId="5" fillId="0" borderId="0" xfId="0" applyNumberFormat="1" applyFont="1" applyAlignment="1">
      <alignment vertical="center"/>
    </xf>
    <xf numFmtId="196" fontId="5" fillId="0" borderId="0" xfId="0" applyNumberFormat="1" applyFont="1" applyAlignment="1">
      <alignment horizontal="left" vertical="center"/>
    </xf>
    <xf numFmtId="201" fontId="5" fillId="0" borderId="0" xfId="0" applyNumberFormat="1" applyFont="1" applyAlignment="1">
      <alignment horizontal="center" vertical="center"/>
    </xf>
    <xf numFmtId="196" fontId="5" fillId="0" borderId="0" xfId="0" applyNumberFormat="1" applyFont="1" applyAlignment="1">
      <alignment horizontal="center" vertical="center"/>
    </xf>
    <xf numFmtId="184" fontId="5" fillId="0" borderId="0" xfId="0" applyNumberFormat="1" applyFont="1" applyFill="1" applyAlignment="1" quotePrefix="1">
      <alignment vertical="center"/>
    </xf>
    <xf numFmtId="196" fontId="5" fillId="0" borderId="0" xfId="0" applyNumberFormat="1" applyFont="1" applyFill="1" applyAlignment="1">
      <alignment horizontal="center" vertical="center"/>
    </xf>
    <xf numFmtId="196" fontId="5" fillId="0" borderId="0" xfId="0" applyNumberFormat="1" applyFont="1" applyFill="1" applyAlignment="1">
      <alignment horizontal="center" vertical="center"/>
    </xf>
    <xf numFmtId="196" fontId="5" fillId="0" borderId="0" xfId="0" applyNumberFormat="1" applyFont="1" applyFill="1" applyAlignment="1">
      <alignment horizontal="left" vertical="center"/>
    </xf>
    <xf numFmtId="184" fontId="7" fillId="0" borderId="0" xfId="0" applyNumberFormat="1" applyFont="1" applyAlignment="1">
      <alignment vertical="center"/>
    </xf>
    <xf numFmtId="184" fontId="5" fillId="0" borderId="0" xfId="0" applyNumberFormat="1" applyFont="1" applyAlignment="1">
      <alignment/>
    </xf>
    <xf numFmtId="184" fontId="5" fillId="0" borderId="0" xfId="0" applyNumberFormat="1" applyFont="1" applyFill="1" applyAlignment="1">
      <alignment/>
    </xf>
    <xf numFmtId="184" fontId="5" fillId="0" borderId="0" xfId="0" applyNumberFormat="1" applyFont="1" applyAlignment="1">
      <alignment vertical="top"/>
    </xf>
    <xf numFmtId="194" fontId="5" fillId="0" borderId="0" xfId="0" applyNumberFormat="1" applyFont="1" applyFill="1" applyAlignment="1">
      <alignment horizontal="center" vertical="center"/>
    </xf>
    <xf numFmtId="184" fontId="5" fillId="0" borderId="0" xfId="0" applyNumberFormat="1" applyFont="1" applyAlignment="1">
      <alignment horizontal="center" vertical="center"/>
    </xf>
    <xf numFmtId="194" fontId="5" fillId="0" borderId="0" xfId="0" applyNumberFormat="1" applyFont="1" applyFill="1" applyAlignment="1">
      <alignment vertical="center"/>
    </xf>
    <xf numFmtId="195" fontId="5" fillId="0" borderId="0" xfId="0" applyNumberFormat="1" applyFont="1" applyFill="1" applyBorder="1" applyAlignment="1">
      <alignment horizontal="center" vertical="center"/>
    </xf>
    <xf numFmtId="194" fontId="16" fillId="0" borderId="0" xfId="0" applyNumberFormat="1" applyFont="1" applyFill="1" applyAlignment="1">
      <alignment vertical="center"/>
    </xf>
    <xf numFmtId="184" fontId="5" fillId="0" borderId="0" xfId="0" applyNumberFormat="1" applyFont="1" applyAlignment="1">
      <alignment horizontal="left"/>
    </xf>
    <xf numFmtId="184" fontId="5" fillId="0" borderId="0" xfId="0" applyNumberFormat="1" applyFont="1" applyAlignment="1">
      <alignment horizontal="right"/>
    </xf>
    <xf numFmtId="184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184" fontId="5" fillId="2" borderId="12" xfId="0" applyNumberFormat="1" applyFont="1" applyFill="1" applyBorder="1" applyAlignment="1" quotePrefix="1">
      <alignment horizontal="center" vertical="center"/>
    </xf>
    <xf numFmtId="184" fontId="5" fillId="2" borderId="10" xfId="0" applyNumberFormat="1" applyFont="1" applyFill="1" applyBorder="1" applyAlignment="1">
      <alignment horizontal="center" vertical="center"/>
    </xf>
    <xf numFmtId="184" fontId="5" fillId="2" borderId="11" xfId="0" applyNumberFormat="1" applyFont="1" applyFill="1" applyBorder="1" applyAlignment="1">
      <alignment horizontal="center" vertical="center"/>
    </xf>
    <xf numFmtId="184" fontId="5" fillId="2" borderId="12" xfId="0" applyNumberFormat="1" applyFont="1" applyFill="1" applyBorder="1" applyAlignment="1">
      <alignment horizontal="center" vertical="center"/>
    </xf>
    <xf numFmtId="184" fontId="5" fillId="0" borderId="12" xfId="0" applyNumberFormat="1" applyFont="1" applyBorder="1" applyAlignment="1">
      <alignment vertical="center"/>
    </xf>
    <xf numFmtId="184" fontId="5" fillId="0" borderId="10" xfId="0" applyNumberFormat="1" applyFont="1" applyBorder="1" applyAlignment="1">
      <alignment vertical="center"/>
    </xf>
    <xf numFmtId="184" fontId="5" fillId="0" borderId="11" xfId="0" applyNumberFormat="1" applyFont="1" applyBorder="1" applyAlignment="1">
      <alignment vertical="center"/>
    </xf>
    <xf numFmtId="184" fontId="5" fillId="0" borderId="10" xfId="0" applyNumberFormat="1" applyFont="1" applyFill="1" applyBorder="1" applyAlignment="1">
      <alignment horizontal="center" vertical="center"/>
    </xf>
    <xf numFmtId="201" fontId="5" fillId="0" borderId="12" xfId="0" applyNumberFormat="1" applyFont="1" applyBorder="1" applyAlignment="1">
      <alignment horizontal="center" vertical="center"/>
    </xf>
    <xf numFmtId="201" fontId="5" fillId="0" borderId="10" xfId="0" applyNumberFormat="1" applyFont="1" applyBorder="1" applyAlignment="1">
      <alignment horizontal="center" vertical="center"/>
    </xf>
    <xf numFmtId="201" fontId="5" fillId="0" borderId="11" xfId="0" applyNumberFormat="1" applyFont="1" applyBorder="1" applyAlignment="1">
      <alignment horizontal="center" vertical="center"/>
    </xf>
    <xf numFmtId="184" fontId="5" fillId="0" borderId="12" xfId="0" applyNumberFormat="1" applyFont="1" applyFill="1" applyBorder="1" applyAlignment="1">
      <alignment horizontal="center" vertical="center"/>
    </xf>
    <xf numFmtId="184" fontId="5" fillId="0" borderId="11" xfId="0" applyNumberFormat="1" applyFont="1" applyFill="1" applyBorder="1" applyAlignment="1">
      <alignment horizontal="center" vertical="center"/>
    </xf>
    <xf numFmtId="196" fontId="5" fillId="0" borderId="12" xfId="0" applyNumberFormat="1" applyFont="1" applyBorder="1" applyAlignment="1">
      <alignment horizontal="center" vertical="center"/>
    </xf>
    <xf numFmtId="196" fontId="5" fillId="0" borderId="10" xfId="0" applyNumberFormat="1" applyFont="1" applyBorder="1" applyAlignment="1">
      <alignment horizontal="center" vertical="center"/>
    </xf>
    <xf numFmtId="196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vertical="center"/>
    </xf>
    <xf numFmtId="187" fontId="5" fillId="0" borderId="12" xfId="0" applyNumberFormat="1" applyFont="1" applyBorder="1" applyAlignment="1">
      <alignment horizontal="center" vertical="center"/>
    </xf>
    <xf numFmtId="184" fontId="5" fillId="0" borderId="10" xfId="0" applyNumberFormat="1" applyFont="1" applyBorder="1" applyAlignment="1">
      <alignment horizontal="center" vertical="center"/>
    </xf>
    <xf numFmtId="184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187" fontId="5" fillId="0" borderId="12" xfId="0" applyNumberFormat="1" applyFont="1" applyFill="1" applyBorder="1" applyAlignment="1">
      <alignment horizontal="center" vertical="center"/>
    </xf>
    <xf numFmtId="187" fontId="5" fillId="0" borderId="10" xfId="0" applyNumberFormat="1" applyFont="1" applyFill="1" applyBorder="1" applyAlignment="1">
      <alignment horizontal="center" vertical="center"/>
    </xf>
    <xf numFmtId="187" fontId="5" fillId="0" borderId="11" xfId="0" applyNumberFormat="1" applyFont="1" applyFill="1" applyBorder="1" applyAlignment="1">
      <alignment horizontal="center" vertical="center"/>
    </xf>
    <xf numFmtId="184" fontId="17" fillId="0" borderId="0" xfId="0" applyNumberFormat="1" applyFont="1" applyFill="1" applyAlignment="1">
      <alignment vertical="center"/>
    </xf>
    <xf numFmtId="201" fontId="5" fillId="0" borderId="12" xfId="0" applyNumberFormat="1" applyFont="1" applyBorder="1" applyAlignment="1">
      <alignment horizontal="center" vertical="center"/>
    </xf>
    <xf numFmtId="0" fontId="5" fillId="0" borderId="12" xfId="0" applyNumberFormat="1" applyFont="1" applyFill="1" applyBorder="1" applyAlignment="1">
      <alignment vertical="center"/>
    </xf>
    <xf numFmtId="184" fontId="5" fillId="0" borderId="10" xfId="0" applyNumberFormat="1" applyFont="1" applyFill="1" applyBorder="1" applyAlignment="1">
      <alignment vertical="center"/>
    </xf>
    <xf numFmtId="184" fontId="5" fillId="0" borderId="11" xfId="0" applyNumberFormat="1" applyFont="1" applyFill="1" applyBorder="1" applyAlignment="1">
      <alignment vertical="center"/>
    </xf>
    <xf numFmtId="199" fontId="5" fillId="0" borderId="12" xfId="0" applyNumberFormat="1" applyFont="1" applyFill="1" applyBorder="1" applyAlignment="1">
      <alignment horizontal="center" vertical="center"/>
    </xf>
    <xf numFmtId="199" fontId="5" fillId="0" borderId="10" xfId="0" applyNumberFormat="1" applyFont="1" applyFill="1" applyBorder="1" applyAlignment="1">
      <alignment horizontal="center" vertical="center"/>
    </xf>
    <xf numFmtId="199" fontId="5" fillId="0" borderId="11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184" fontId="5" fillId="0" borderId="12" xfId="0" applyNumberFormat="1" applyFont="1" applyBorder="1" applyAlignment="1" quotePrefix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187" fontId="5" fillId="0" borderId="12" xfId="0" applyNumberFormat="1" applyFont="1" applyBorder="1" applyAlignment="1">
      <alignment vertical="center"/>
    </xf>
    <xf numFmtId="187" fontId="5" fillId="0" borderId="10" xfId="0" applyNumberFormat="1" applyFont="1" applyBorder="1" applyAlignment="1">
      <alignment vertical="center"/>
    </xf>
    <xf numFmtId="187" fontId="5" fillId="0" borderId="11" xfId="0" applyNumberFormat="1" applyFont="1" applyBorder="1" applyAlignment="1">
      <alignment vertical="center"/>
    </xf>
    <xf numFmtId="1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184" fontId="5" fillId="0" borderId="0" xfId="0" applyNumberFormat="1" applyFont="1" applyAlignment="1" quotePrefix="1">
      <alignment vertical="center"/>
    </xf>
    <xf numFmtId="1" fontId="5" fillId="0" borderId="0" xfId="0" applyNumberFormat="1" applyFont="1" applyAlignment="1">
      <alignment horizontal="center" vertical="center"/>
    </xf>
    <xf numFmtId="187" fontId="5" fillId="0" borderId="0" xfId="0" applyNumberFormat="1" applyFont="1" applyAlignment="1">
      <alignment horizontal="center" vertical="center"/>
    </xf>
    <xf numFmtId="198" fontId="5" fillId="0" borderId="0" xfId="0" applyNumberFormat="1" applyFont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188" fontId="5" fillId="0" borderId="0" xfId="0" applyNumberFormat="1" applyFont="1" applyFill="1" applyAlignment="1">
      <alignment horizontal="center" vertical="center"/>
    </xf>
    <xf numFmtId="187" fontId="5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192" fontId="5" fillId="0" borderId="8" xfId="0" applyNumberFormat="1" applyFont="1" applyFill="1" applyBorder="1" applyAlignment="1">
      <alignment horizontal="center" vertical="center"/>
    </xf>
    <xf numFmtId="192" fontId="5" fillId="0" borderId="2" xfId="0" applyNumberFormat="1" applyFont="1" applyFill="1" applyBorder="1" applyAlignment="1">
      <alignment horizontal="center" vertical="center"/>
    </xf>
    <xf numFmtId="192" fontId="5" fillId="0" borderId="9" xfId="0" applyNumberFormat="1" applyFont="1" applyFill="1" applyBorder="1" applyAlignment="1">
      <alignment horizontal="center" vertical="center"/>
    </xf>
    <xf numFmtId="184" fontId="5" fillId="0" borderId="8" xfId="0" applyNumberFormat="1" applyFont="1" applyBorder="1" applyAlignment="1">
      <alignment horizontal="center" vertical="center" wrapText="1"/>
    </xf>
    <xf numFmtId="184" fontId="5" fillId="0" borderId="2" xfId="0" applyNumberFormat="1" applyFont="1" applyBorder="1" applyAlignment="1">
      <alignment horizontal="center" vertical="center" wrapText="1"/>
    </xf>
    <xf numFmtId="184" fontId="5" fillId="0" borderId="9" xfId="0" applyNumberFormat="1" applyFont="1" applyBorder="1" applyAlignment="1">
      <alignment horizontal="center" vertical="center" wrapText="1"/>
    </xf>
    <xf numFmtId="196" fontId="5" fillId="0" borderId="0" xfId="0" applyNumberFormat="1" applyFont="1" applyFill="1" applyAlignment="1">
      <alignment vertical="center"/>
    </xf>
    <xf numFmtId="184" fontId="5" fillId="0" borderId="8" xfId="0" applyNumberFormat="1" applyFont="1" applyBorder="1" applyAlignment="1" quotePrefix="1">
      <alignment horizontal="center" vertical="center"/>
    </xf>
    <xf numFmtId="184" fontId="5" fillId="0" borderId="2" xfId="0" applyNumberFormat="1" applyFont="1" applyBorder="1" applyAlignment="1" quotePrefix="1">
      <alignment horizontal="center" vertical="center"/>
    </xf>
    <xf numFmtId="184" fontId="5" fillId="0" borderId="9" xfId="0" applyNumberFormat="1" applyFont="1" applyBorder="1" applyAlignment="1" quotePrefix="1">
      <alignment horizontal="center" vertical="center"/>
    </xf>
    <xf numFmtId="192" fontId="5" fillId="0" borderId="0" xfId="0" applyNumberFormat="1" applyFont="1" applyFill="1" applyAlignment="1">
      <alignment vertical="center"/>
    </xf>
    <xf numFmtId="184" fontId="5" fillId="0" borderId="0" xfId="0" applyNumberFormat="1" applyFont="1" applyBorder="1" applyAlignment="1">
      <alignment vertical="center"/>
    </xf>
    <xf numFmtId="184" fontId="5" fillId="0" borderId="4" xfId="0" applyNumberFormat="1" applyFont="1" applyFill="1" applyBorder="1" applyAlignment="1">
      <alignment vertical="center"/>
    </xf>
    <xf numFmtId="184" fontId="5" fillId="0" borderId="4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184" fontId="5" fillId="0" borderId="5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centerContinuous" vertical="center"/>
    </xf>
    <xf numFmtId="184" fontId="5" fillId="0" borderId="6" xfId="0" applyNumberFormat="1" applyFont="1" applyFill="1" applyBorder="1" applyAlignment="1" quotePrefix="1">
      <alignment horizontal="center" vertical="center"/>
    </xf>
    <xf numFmtId="184" fontId="5" fillId="0" borderId="6" xfId="0" applyNumberFormat="1" applyFont="1" applyFill="1" applyBorder="1" applyAlignment="1">
      <alignment horizontal="center" vertical="center"/>
    </xf>
    <xf numFmtId="184" fontId="5" fillId="0" borderId="0" xfId="0" applyNumberFormat="1" applyFont="1" applyBorder="1" applyAlignment="1">
      <alignment horizontal="center" vertical="center"/>
    </xf>
    <xf numFmtId="184" fontId="5" fillId="0" borderId="12" xfId="0" applyNumberFormat="1" applyFont="1" applyFill="1" applyBorder="1" applyAlignment="1" quotePrefix="1">
      <alignment horizontal="center" vertical="center"/>
    </xf>
    <xf numFmtId="0" fontId="5" fillId="0" borderId="6" xfId="0" applyNumberFormat="1" applyFont="1" applyFill="1" applyBorder="1" applyAlignment="1">
      <alignment horizontal="left" vertical="center"/>
    </xf>
    <xf numFmtId="184" fontId="17" fillId="0" borderId="0" xfId="0" applyNumberFormat="1" applyFont="1" applyAlignment="1">
      <alignment vertical="center"/>
    </xf>
    <xf numFmtId="184" fontId="19" fillId="0" borderId="0" xfId="0" applyNumberFormat="1" applyFont="1" applyFill="1" applyAlignment="1">
      <alignment horizontal="center" vertical="center"/>
    </xf>
    <xf numFmtId="189" fontId="19" fillId="0" borderId="0" xfId="0" applyNumberFormat="1" applyFont="1" applyFill="1" applyAlignment="1">
      <alignment horizontal="center" vertical="center"/>
    </xf>
    <xf numFmtId="190" fontId="19" fillId="0" borderId="0" xfId="0" applyNumberFormat="1" applyFont="1" applyFill="1" applyAlignment="1">
      <alignment horizontal="center" vertical="center"/>
    </xf>
    <xf numFmtId="184" fontId="7" fillId="0" borderId="0" xfId="0" applyNumberFormat="1" applyFont="1" applyFill="1" applyAlignment="1">
      <alignment vertical="center"/>
    </xf>
    <xf numFmtId="187" fontId="5" fillId="0" borderId="12" xfId="0" applyNumberFormat="1" applyFont="1" applyFill="1" applyBorder="1" applyAlignment="1">
      <alignment vertical="center"/>
    </xf>
    <xf numFmtId="187" fontId="5" fillId="0" borderId="10" xfId="0" applyNumberFormat="1" applyFont="1" applyFill="1" applyBorder="1" applyAlignment="1">
      <alignment vertical="center"/>
    </xf>
    <xf numFmtId="187" fontId="5" fillId="0" borderId="11" xfId="0" applyNumberFormat="1" applyFont="1" applyFill="1" applyBorder="1" applyAlignment="1">
      <alignment vertical="center"/>
    </xf>
    <xf numFmtId="184" fontId="5" fillId="0" borderId="6" xfId="0" applyNumberFormat="1" applyFont="1" applyBorder="1" applyAlignment="1" quotePrefix="1">
      <alignment horizontal="center" vertical="center"/>
    </xf>
    <xf numFmtId="184" fontId="5" fillId="0" borderId="6" xfId="0" applyNumberFormat="1" applyFont="1" applyBorder="1" applyAlignment="1">
      <alignment horizontal="center" vertical="center"/>
    </xf>
    <xf numFmtId="184" fontId="14" fillId="0" borderId="0" xfId="0" applyNumberFormat="1" applyFont="1" applyAlignment="1">
      <alignment vertical="center"/>
    </xf>
    <xf numFmtId="184" fontId="5" fillId="0" borderId="0" xfId="0" applyNumberFormat="1" applyFont="1" applyAlignment="1">
      <alignment vertical="center"/>
    </xf>
    <xf numFmtId="184" fontId="5" fillId="0" borderId="0" xfId="0" applyNumberFormat="1" applyFont="1" applyFill="1" applyAlignment="1" quotePrefix="1">
      <alignment vertical="center"/>
    </xf>
    <xf numFmtId="184" fontId="5" fillId="0" borderId="0" xfId="0" applyNumberFormat="1" applyFont="1" applyFill="1" applyAlignment="1">
      <alignment/>
    </xf>
    <xf numFmtId="184" fontId="5" fillId="0" borderId="0" xfId="0" applyNumberFormat="1" applyFont="1" applyAlignment="1">
      <alignment/>
    </xf>
    <xf numFmtId="184" fontId="5" fillId="0" borderId="0" xfId="0" applyNumberFormat="1" applyFont="1" applyAlignment="1">
      <alignment vertical="top"/>
    </xf>
    <xf numFmtId="194" fontId="5" fillId="0" borderId="0" xfId="0" applyNumberFormat="1" applyFont="1" applyFill="1" applyAlignment="1">
      <alignment horizontal="center" vertical="center"/>
    </xf>
    <xf numFmtId="184" fontId="5" fillId="0" borderId="0" xfId="0" applyNumberFormat="1" applyFont="1" applyAlignment="1">
      <alignment horizontal="center" vertical="center"/>
    </xf>
    <xf numFmtId="194" fontId="5" fillId="0" borderId="0" xfId="0" applyNumberFormat="1" applyFont="1" applyFill="1" applyAlignment="1">
      <alignment vertical="center"/>
    </xf>
    <xf numFmtId="195" fontId="5" fillId="0" borderId="0" xfId="0" applyNumberFormat="1" applyFont="1" applyFill="1" applyBorder="1" applyAlignment="1">
      <alignment horizontal="center" vertical="center"/>
    </xf>
    <xf numFmtId="184" fontId="5" fillId="0" borderId="0" xfId="0" applyNumberFormat="1" applyFont="1" applyAlignment="1">
      <alignment horizontal="left"/>
    </xf>
    <xf numFmtId="184" fontId="5" fillId="0" borderId="0" xfId="0" applyNumberFormat="1" applyFont="1" applyAlignment="1">
      <alignment horizontal="right"/>
    </xf>
    <xf numFmtId="184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184" fontId="5" fillId="2" borderId="12" xfId="0" applyNumberFormat="1" applyFont="1" applyFill="1" applyBorder="1" applyAlignment="1" quotePrefix="1">
      <alignment horizontal="center" vertical="center"/>
    </xf>
    <xf numFmtId="184" fontId="5" fillId="2" borderId="10" xfId="0" applyNumberFormat="1" applyFont="1" applyFill="1" applyBorder="1" applyAlignment="1">
      <alignment horizontal="center" vertical="center"/>
    </xf>
    <xf numFmtId="184" fontId="5" fillId="2" borderId="11" xfId="0" applyNumberFormat="1" applyFont="1" applyFill="1" applyBorder="1" applyAlignment="1">
      <alignment horizontal="center" vertical="center"/>
    </xf>
    <xf numFmtId="184" fontId="5" fillId="2" borderId="12" xfId="0" applyNumberFormat="1" applyFont="1" applyFill="1" applyBorder="1" applyAlignment="1">
      <alignment horizontal="center" vertical="center"/>
    </xf>
    <xf numFmtId="184" fontId="5" fillId="0" borderId="12" xfId="0" applyNumberFormat="1" applyFont="1" applyBorder="1" applyAlignment="1">
      <alignment vertical="center"/>
    </xf>
    <xf numFmtId="184" fontId="5" fillId="0" borderId="10" xfId="0" applyNumberFormat="1" applyFont="1" applyBorder="1" applyAlignment="1">
      <alignment vertical="center"/>
    </xf>
    <xf numFmtId="184" fontId="5" fillId="0" borderId="11" xfId="0" applyNumberFormat="1" applyFont="1" applyBorder="1" applyAlignment="1">
      <alignment vertical="center"/>
    </xf>
    <xf numFmtId="184" fontId="5" fillId="0" borderId="10" xfId="0" applyNumberFormat="1" applyFont="1" applyFill="1" applyBorder="1" applyAlignment="1">
      <alignment horizontal="center" vertical="center"/>
    </xf>
    <xf numFmtId="184" fontId="5" fillId="0" borderId="12" xfId="0" applyNumberFormat="1" applyFont="1" applyFill="1" applyBorder="1" applyAlignment="1">
      <alignment horizontal="center" vertical="center"/>
    </xf>
    <xf numFmtId="184" fontId="5" fillId="0" borderId="11" xfId="0" applyNumberFormat="1" applyFont="1" applyFill="1" applyBorder="1" applyAlignment="1">
      <alignment horizontal="center" vertical="center"/>
    </xf>
    <xf numFmtId="0" fontId="5" fillId="0" borderId="12" xfId="0" applyNumberFormat="1" applyFont="1" applyBorder="1" applyAlignment="1">
      <alignment vertical="center"/>
    </xf>
    <xf numFmtId="187" fontId="5" fillId="0" borderId="12" xfId="0" applyNumberFormat="1" applyFont="1" applyBorder="1" applyAlignment="1">
      <alignment horizontal="center" vertical="center"/>
    </xf>
    <xf numFmtId="184" fontId="5" fillId="0" borderId="10" xfId="0" applyNumberFormat="1" applyFont="1" applyBorder="1" applyAlignment="1">
      <alignment horizontal="center" vertical="center"/>
    </xf>
    <xf numFmtId="184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187" fontId="5" fillId="0" borderId="12" xfId="0" applyNumberFormat="1" applyFont="1" applyFill="1" applyBorder="1" applyAlignment="1">
      <alignment horizontal="center" vertical="center"/>
    </xf>
    <xf numFmtId="187" fontId="5" fillId="0" borderId="10" xfId="0" applyNumberFormat="1" applyFont="1" applyFill="1" applyBorder="1" applyAlignment="1">
      <alignment horizontal="center" vertical="center"/>
    </xf>
    <xf numFmtId="187" fontId="5" fillId="0" borderId="11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vertical="center"/>
    </xf>
    <xf numFmtId="184" fontId="5" fillId="0" borderId="10" xfId="0" applyNumberFormat="1" applyFont="1" applyFill="1" applyBorder="1" applyAlignment="1">
      <alignment vertical="center"/>
    </xf>
    <xf numFmtId="184" fontId="5" fillId="0" borderId="11" xfId="0" applyNumberFormat="1" applyFont="1" applyFill="1" applyBorder="1" applyAlignment="1">
      <alignment vertical="center"/>
    </xf>
    <xf numFmtId="199" fontId="5" fillId="0" borderId="12" xfId="0" applyNumberFormat="1" applyFont="1" applyFill="1" applyBorder="1" applyAlignment="1">
      <alignment horizontal="center" vertical="center"/>
    </xf>
    <xf numFmtId="199" fontId="5" fillId="0" borderId="10" xfId="0" applyNumberFormat="1" applyFont="1" applyFill="1" applyBorder="1" applyAlignment="1">
      <alignment horizontal="center" vertical="center"/>
    </xf>
    <xf numFmtId="199" fontId="5" fillId="0" borderId="11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184" fontId="5" fillId="0" borderId="12" xfId="0" applyNumberFormat="1" applyFont="1" applyBorder="1" applyAlignment="1" quotePrefix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187" fontId="5" fillId="0" borderId="12" xfId="0" applyNumberFormat="1" applyFont="1" applyBorder="1" applyAlignment="1">
      <alignment vertical="center"/>
    </xf>
    <xf numFmtId="187" fontId="5" fillId="0" borderId="10" xfId="0" applyNumberFormat="1" applyFont="1" applyBorder="1" applyAlignment="1">
      <alignment vertical="center"/>
    </xf>
    <xf numFmtId="187" fontId="5" fillId="0" borderId="11" xfId="0" applyNumberFormat="1" applyFont="1" applyBorder="1" applyAlignment="1">
      <alignment vertical="center"/>
    </xf>
    <xf numFmtId="1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184" fontId="5" fillId="0" borderId="0" xfId="0" applyNumberFormat="1" applyFont="1" applyAlignment="1" quotePrefix="1">
      <alignment vertical="center"/>
    </xf>
    <xf numFmtId="1" fontId="5" fillId="0" borderId="0" xfId="0" applyNumberFormat="1" applyFont="1" applyAlignment="1">
      <alignment horizontal="center" vertical="center"/>
    </xf>
    <xf numFmtId="187" fontId="5" fillId="0" borderId="0" xfId="0" applyNumberFormat="1" applyFont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198" fontId="5" fillId="0" borderId="0" xfId="0" applyNumberFormat="1" applyFont="1" applyFill="1" applyAlignment="1">
      <alignment horizontal="center" vertical="center"/>
    </xf>
    <xf numFmtId="188" fontId="5" fillId="0" borderId="0" xfId="0" applyNumberFormat="1" applyFont="1" applyFill="1" applyAlignment="1">
      <alignment horizontal="center" vertical="center"/>
    </xf>
    <xf numFmtId="187" fontId="5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192" fontId="5" fillId="0" borderId="8" xfId="0" applyNumberFormat="1" applyFont="1" applyFill="1" applyBorder="1" applyAlignment="1">
      <alignment horizontal="center" vertical="center"/>
    </xf>
    <xf numFmtId="192" fontId="5" fillId="0" borderId="2" xfId="0" applyNumberFormat="1" applyFont="1" applyFill="1" applyBorder="1" applyAlignment="1">
      <alignment horizontal="center" vertical="center"/>
    </xf>
    <xf numFmtId="192" fontId="5" fillId="0" borderId="9" xfId="0" applyNumberFormat="1" applyFont="1" applyFill="1" applyBorder="1" applyAlignment="1">
      <alignment horizontal="center" vertical="center"/>
    </xf>
    <xf numFmtId="184" fontId="5" fillId="0" borderId="8" xfId="0" applyNumberFormat="1" applyFont="1" applyBorder="1" applyAlignment="1">
      <alignment horizontal="center" vertical="center" wrapText="1"/>
    </xf>
    <xf numFmtId="184" fontId="5" fillId="0" borderId="2" xfId="0" applyNumberFormat="1" applyFont="1" applyBorder="1" applyAlignment="1">
      <alignment horizontal="center" vertical="center" wrapText="1"/>
    </xf>
    <xf numFmtId="184" fontId="5" fillId="0" borderId="9" xfId="0" applyNumberFormat="1" applyFont="1" applyBorder="1" applyAlignment="1">
      <alignment horizontal="center" vertical="center" wrapText="1"/>
    </xf>
    <xf numFmtId="196" fontId="5" fillId="0" borderId="0" xfId="0" applyNumberFormat="1" applyFont="1" applyFill="1" applyAlignment="1">
      <alignment vertical="center"/>
    </xf>
    <xf numFmtId="184" fontId="5" fillId="0" borderId="8" xfId="0" applyNumberFormat="1" applyFont="1" applyBorder="1" applyAlignment="1" quotePrefix="1">
      <alignment horizontal="center" vertical="center"/>
    </xf>
    <xf numFmtId="184" fontId="5" fillId="0" borderId="2" xfId="0" applyNumberFormat="1" applyFont="1" applyBorder="1" applyAlignment="1" quotePrefix="1">
      <alignment horizontal="center" vertical="center"/>
    </xf>
    <xf numFmtId="184" fontId="5" fillId="0" borderId="9" xfId="0" applyNumberFormat="1" applyFont="1" applyBorder="1" applyAlignment="1" quotePrefix="1">
      <alignment horizontal="center" vertical="center"/>
    </xf>
    <xf numFmtId="192" fontId="5" fillId="0" borderId="0" xfId="0" applyNumberFormat="1" applyFont="1" applyFill="1" applyAlignment="1">
      <alignment vertical="center"/>
    </xf>
    <xf numFmtId="184" fontId="5" fillId="0" borderId="0" xfId="0" applyNumberFormat="1" applyFont="1" applyBorder="1" applyAlignment="1">
      <alignment vertical="center"/>
    </xf>
    <xf numFmtId="184" fontId="5" fillId="0" borderId="4" xfId="0" applyNumberFormat="1" applyFont="1" applyFill="1" applyBorder="1" applyAlignment="1">
      <alignment vertical="center"/>
    </xf>
    <xf numFmtId="184" fontId="5" fillId="0" borderId="4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184" fontId="5" fillId="0" borderId="5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centerContinuous" vertical="center"/>
    </xf>
    <xf numFmtId="184" fontId="5" fillId="0" borderId="6" xfId="0" applyNumberFormat="1" applyFont="1" applyFill="1" applyBorder="1" applyAlignment="1" quotePrefix="1">
      <alignment horizontal="center" vertical="center"/>
    </xf>
    <xf numFmtId="184" fontId="5" fillId="0" borderId="6" xfId="0" applyNumberFormat="1" applyFont="1" applyFill="1" applyBorder="1" applyAlignment="1">
      <alignment horizontal="center" vertical="center"/>
    </xf>
    <xf numFmtId="184" fontId="5" fillId="0" borderId="6" xfId="0" applyNumberFormat="1" applyFont="1" applyBorder="1" applyAlignment="1" quotePrefix="1">
      <alignment horizontal="center" vertical="center"/>
    </xf>
    <xf numFmtId="184" fontId="5" fillId="0" borderId="6" xfId="0" applyNumberFormat="1" applyFont="1" applyBorder="1" applyAlignment="1">
      <alignment horizontal="center" vertical="center"/>
    </xf>
    <xf numFmtId="184" fontId="5" fillId="0" borderId="0" xfId="0" applyNumberFormat="1" applyFont="1" applyBorder="1" applyAlignment="1">
      <alignment horizontal="center" vertical="center"/>
    </xf>
    <xf numFmtId="184" fontId="5" fillId="0" borderId="12" xfId="0" applyNumberFormat="1" applyFont="1" applyFill="1" applyBorder="1" applyAlignment="1" quotePrefix="1">
      <alignment horizontal="center" vertical="center"/>
    </xf>
    <xf numFmtId="0" fontId="5" fillId="0" borderId="6" xfId="0" applyNumberFormat="1" applyFont="1" applyFill="1" applyBorder="1" applyAlignment="1">
      <alignment horizontal="left" vertical="center"/>
    </xf>
    <xf numFmtId="184" fontId="19" fillId="0" borderId="0" xfId="0" applyNumberFormat="1" applyFont="1" applyFill="1" applyAlignment="1">
      <alignment horizontal="center" vertical="center"/>
    </xf>
    <xf numFmtId="189" fontId="19" fillId="0" borderId="0" xfId="0" applyNumberFormat="1" applyFont="1" applyFill="1" applyAlignment="1">
      <alignment horizontal="center" vertical="center"/>
    </xf>
    <xf numFmtId="190" fontId="19" fillId="0" borderId="0" xfId="0" applyNumberFormat="1" applyFont="1" applyFill="1" applyAlignment="1">
      <alignment horizontal="center" vertical="center"/>
    </xf>
    <xf numFmtId="184" fontId="19" fillId="0" borderId="0" xfId="0" applyNumberFormat="1" applyFont="1" applyFill="1" applyAlignment="1">
      <alignment horizontal="center" vertical="center"/>
    </xf>
    <xf numFmtId="190" fontId="19" fillId="0" borderId="0" xfId="0" applyNumberFormat="1" applyFont="1" applyFill="1" applyAlignment="1">
      <alignment horizontal="center" vertical="center"/>
    </xf>
    <xf numFmtId="184" fontId="19" fillId="0" borderId="0" xfId="0" applyNumberFormat="1" applyFont="1" applyFill="1" applyAlignment="1">
      <alignment horizontal="center" vertical="center"/>
    </xf>
    <xf numFmtId="190" fontId="19" fillId="0" borderId="0" xfId="0" applyNumberFormat="1" applyFont="1" applyFill="1" applyAlignment="1">
      <alignment horizontal="center" vertical="center"/>
    </xf>
    <xf numFmtId="184" fontId="19" fillId="0" borderId="0" xfId="0" applyNumberFormat="1" applyFont="1" applyFill="1" applyAlignment="1">
      <alignment horizontal="center" vertical="center"/>
    </xf>
    <xf numFmtId="189" fontId="19" fillId="0" borderId="0" xfId="0" applyNumberFormat="1" applyFont="1" applyFill="1" applyAlignment="1">
      <alignment horizontal="center" vertical="center"/>
    </xf>
    <xf numFmtId="190" fontId="19" fillId="0" borderId="0" xfId="0" applyNumberFormat="1" applyFont="1" applyFill="1" applyAlignment="1">
      <alignment horizontal="center" vertical="center"/>
    </xf>
    <xf numFmtId="184" fontId="19" fillId="0" borderId="0" xfId="0" applyNumberFormat="1" applyFont="1" applyFill="1" applyAlignment="1">
      <alignment horizontal="center" vertical="center"/>
    </xf>
    <xf numFmtId="190" fontId="19" fillId="0" borderId="0" xfId="0" applyNumberFormat="1" applyFont="1" applyFill="1" applyAlignment="1">
      <alignment horizontal="center" vertical="center"/>
    </xf>
    <xf numFmtId="184" fontId="19" fillId="0" borderId="0" xfId="0" applyNumberFormat="1" applyFont="1" applyFill="1" applyAlignment="1">
      <alignment horizontal="center" vertical="center"/>
    </xf>
    <xf numFmtId="190" fontId="19" fillId="0" borderId="0" xfId="0" applyNumberFormat="1" applyFont="1" applyFill="1" applyAlignment="1">
      <alignment horizontal="center" vertical="center"/>
    </xf>
    <xf numFmtId="184" fontId="19" fillId="0" borderId="0" xfId="0" applyNumberFormat="1" applyFont="1" applyFill="1" applyAlignment="1">
      <alignment horizontal="center" vertical="center"/>
    </xf>
    <xf numFmtId="189" fontId="19" fillId="0" borderId="0" xfId="0" applyNumberFormat="1" applyFont="1" applyFill="1" applyAlignment="1">
      <alignment horizontal="center" vertical="center"/>
    </xf>
    <xf numFmtId="190" fontId="19" fillId="0" borderId="0" xfId="0" applyNumberFormat="1" applyFont="1" applyFill="1" applyAlignment="1">
      <alignment horizontal="center" vertical="center"/>
    </xf>
    <xf numFmtId="184" fontId="19" fillId="0" borderId="0" xfId="0" applyNumberFormat="1" applyFont="1" applyFill="1" applyAlignment="1">
      <alignment horizontal="center" vertical="center"/>
    </xf>
    <xf numFmtId="190" fontId="19" fillId="0" borderId="0" xfId="0" applyNumberFormat="1" applyFont="1" applyFill="1" applyAlignment="1">
      <alignment horizontal="center" vertical="center"/>
    </xf>
    <xf numFmtId="184" fontId="19" fillId="0" borderId="0" xfId="0" applyNumberFormat="1" applyFont="1" applyFill="1" applyAlignment="1">
      <alignment horizontal="center" vertical="center"/>
    </xf>
    <xf numFmtId="190" fontId="19" fillId="0" borderId="0" xfId="0" applyNumberFormat="1" applyFont="1" applyFill="1" applyAlignment="1">
      <alignment horizontal="center" vertical="center"/>
    </xf>
    <xf numFmtId="184" fontId="19" fillId="0" borderId="0" xfId="0" applyNumberFormat="1" applyFont="1" applyFill="1" applyAlignment="1">
      <alignment horizontal="center" vertical="center"/>
    </xf>
    <xf numFmtId="189" fontId="19" fillId="0" borderId="0" xfId="0" applyNumberFormat="1" applyFont="1" applyFill="1" applyAlignment="1">
      <alignment horizontal="center" vertical="center"/>
    </xf>
    <xf numFmtId="190" fontId="19" fillId="0" borderId="0" xfId="0" applyNumberFormat="1" applyFont="1" applyFill="1" applyAlignment="1">
      <alignment horizontal="center" vertical="center"/>
    </xf>
    <xf numFmtId="184" fontId="19" fillId="0" borderId="0" xfId="0" applyNumberFormat="1" applyFont="1" applyFill="1" applyAlignment="1">
      <alignment horizontal="center" vertical="center"/>
    </xf>
    <xf numFmtId="190" fontId="19" fillId="0" borderId="0" xfId="0" applyNumberFormat="1" applyFont="1" applyFill="1" applyAlignment="1">
      <alignment horizontal="center" vertical="center"/>
    </xf>
    <xf numFmtId="184" fontId="19" fillId="0" borderId="0" xfId="0" applyNumberFormat="1" applyFont="1" applyFill="1" applyAlignment="1">
      <alignment horizontal="center" vertical="center"/>
    </xf>
    <xf numFmtId="190" fontId="19" fillId="0" borderId="0" xfId="0" applyNumberFormat="1" applyFont="1" applyFill="1" applyAlignment="1">
      <alignment horizontal="center" vertical="center"/>
    </xf>
    <xf numFmtId="184" fontId="19" fillId="0" borderId="0" xfId="0" applyNumberFormat="1" applyFont="1" applyFill="1" applyAlignment="1">
      <alignment horizontal="center" vertical="center"/>
    </xf>
    <xf numFmtId="189" fontId="19" fillId="0" borderId="0" xfId="0" applyNumberFormat="1" applyFont="1" applyFill="1" applyAlignment="1">
      <alignment horizontal="center" vertical="center"/>
    </xf>
    <xf numFmtId="190" fontId="19" fillId="0" borderId="0" xfId="0" applyNumberFormat="1" applyFont="1" applyFill="1" applyAlignment="1">
      <alignment horizontal="center" vertical="center"/>
    </xf>
    <xf numFmtId="184" fontId="19" fillId="0" borderId="0" xfId="0" applyNumberFormat="1" applyFont="1" applyFill="1" applyAlignment="1">
      <alignment horizontal="center" vertical="center"/>
    </xf>
    <xf numFmtId="190" fontId="19" fillId="0" borderId="0" xfId="0" applyNumberFormat="1" applyFont="1" applyFill="1" applyAlignment="1">
      <alignment horizontal="center" vertical="center"/>
    </xf>
    <xf numFmtId="184" fontId="19" fillId="0" borderId="0" xfId="0" applyNumberFormat="1" applyFont="1" applyFill="1" applyAlignment="1">
      <alignment horizontal="center" vertical="center"/>
    </xf>
    <xf numFmtId="190" fontId="19" fillId="0" borderId="0" xfId="0" applyNumberFormat="1" applyFont="1" applyFill="1" applyAlignment="1">
      <alignment horizontal="center" vertical="center"/>
    </xf>
    <xf numFmtId="184" fontId="19" fillId="0" borderId="0" xfId="0" applyNumberFormat="1" applyFont="1" applyFill="1" applyAlignment="1">
      <alignment horizontal="center" vertical="center"/>
    </xf>
    <xf numFmtId="189" fontId="19" fillId="0" borderId="0" xfId="0" applyNumberFormat="1" applyFont="1" applyFill="1" applyAlignment="1">
      <alignment horizontal="center" vertical="center"/>
    </xf>
    <xf numFmtId="190" fontId="19" fillId="0" borderId="0" xfId="0" applyNumberFormat="1" applyFont="1" applyFill="1" applyAlignment="1">
      <alignment horizontal="center" vertical="center"/>
    </xf>
    <xf numFmtId="184" fontId="19" fillId="0" borderId="0" xfId="0" applyNumberFormat="1" applyFont="1" applyFill="1" applyAlignment="1">
      <alignment horizontal="center" vertical="center"/>
    </xf>
    <xf numFmtId="190" fontId="19" fillId="0" borderId="0" xfId="0" applyNumberFormat="1" applyFont="1" applyFill="1" applyAlignment="1">
      <alignment horizontal="center" vertical="center"/>
    </xf>
    <xf numFmtId="184" fontId="19" fillId="0" borderId="0" xfId="0" applyNumberFormat="1" applyFont="1" applyFill="1" applyAlignment="1">
      <alignment horizontal="center" vertical="center"/>
    </xf>
    <xf numFmtId="190" fontId="19" fillId="0" borderId="0" xfId="0" applyNumberFormat="1" applyFont="1" applyFill="1" applyAlignment="1">
      <alignment horizontal="center" vertical="center"/>
    </xf>
    <xf numFmtId="184" fontId="19" fillId="0" borderId="0" xfId="0" applyNumberFormat="1" applyFont="1" applyFill="1" applyAlignment="1">
      <alignment horizontal="center" vertical="center"/>
    </xf>
    <xf numFmtId="189" fontId="19" fillId="0" borderId="0" xfId="0" applyNumberFormat="1" applyFont="1" applyFill="1" applyAlignment="1">
      <alignment horizontal="center" vertical="center"/>
    </xf>
    <xf numFmtId="190" fontId="19" fillId="0" borderId="0" xfId="0" applyNumberFormat="1" applyFont="1" applyFill="1" applyAlignment="1">
      <alignment horizontal="center" vertical="center"/>
    </xf>
    <xf numFmtId="184" fontId="19" fillId="0" borderId="0" xfId="0" applyNumberFormat="1" applyFont="1" applyFill="1" applyAlignment="1">
      <alignment horizontal="center" vertical="center"/>
    </xf>
    <xf numFmtId="190" fontId="19" fillId="0" borderId="0" xfId="0" applyNumberFormat="1" applyFont="1" applyFill="1" applyAlignment="1">
      <alignment horizontal="center" vertical="center"/>
    </xf>
    <xf numFmtId="184" fontId="19" fillId="0" borderId="0" xfId="0" applyNumberFormat="1" applyFont="1" applyFill="1" applyAlignment="1">
      <alignment horizontal="center" vertical="center"/>
    </xf>
    <xf numFmtId="190" fontId="19" fillId="0" borderId="0" xfId="0" applyNumberFormat="1" applyFont="1" applyFill="1" applyAlignment="1">
      <alignment horizontal="center" vertical="center"/>
    </xf>
    <xf numFmtId="184" fontId="19" fillId="0" borderId="0" xfId="0" applyNumberFormat="1" applyFont="1" applyFill="1" applyAlignment="1">
      <alignment horizontal="center" vertical="center"/>
    </xf>
    <xf numFmtId="189" fontId="19" fillId="0" borderId="0" xfId="0" applyNumberFormat="1" applyFont="1" applyFill="1" applyAlignment="1">
      <alignment horizontal="center" vertical="center"/>
    </xf>
    <xf numFmtId="190" fontId="19" fillId="0" borderId="0" xfId="0" applyNumberFormat="1" applyFont="1" applyFill="1" applyAlignment="1">
      <alignment horizontal="center" vertical="center"/>
    </xf>
    <xf numFmtId="184" fontId="19" fillId="0" borderId="0" xfId="0" applyNumberFormat="1" applyFont="1" applyFill="1" applyAlignment="1">
      <alignment horizontal="center" vertical="center"/>
    </xf>
    <xf numFmtId="190" fontId="19" fillId="0" borderId="0" xfId="0" applyNumberFormat="1" applyFont="1" applyFill="1" applyAlignment="1">
      <alignment horizontal="center" vertical="center"/>
    </xf>
    <xf numFmtId="184" fontId="19" fillId="0" borderId="0" xfId="0" applyNumberFormat="1" applyFont="1" applyFill="1" applyAlignment="1">
      <alignment horizontal="center" vertical="center"/>
    </xf>
    <xf numFmtId="190" fontId="19" fillId="0" borderId="0" xfId="0" applyNumberFormat="1" applyFont="1" applyFill="1" applyAlignment="1">
      <alignment horizontal="center" vertical="center"/>
    </xf>
    <xf numFmtId="184" fontId="19" fillId="0" borderId="0" xfId="0" applyNumberFormat="1" applyFont="1" applyFill="1" applyAlignment="1">
      <alignment horizontal="center" vertical="center"/>
    </xf>
    <xf numFmtId="189" fontId="19" fillId="0" borderId="0" xfId="0" applyNumberFormat="1" applyFont="1" applyFill="1" applyAlignment="1">
      <alignment horizontal="center" vertical="center"/>
    </xf>
    <xf numFmtId="190" fontId="19" fillId="0" borderId="0" xfId="0" applyNumberFormat="1" applyFont="1" applyFill="1" applyAlignment="1">
      <alignment horizontal="center" vertical="center"/>
    </xf>
    <xf numFmtId="184" fontId="19" fillId="0" borderId="0" xfId="0" applyNumberFormat="1" applyFont="1" applyFill="1" applyAlignment="1">
      <alignment horizontal="center" vertical="center"/>
    </xf>
    <xf numFmtId="190" fontId="19" fillId="0" borderId="0" xfId="0" applyNumberFormat="1" applyFont="1" applyFill="1" applyAlignment="1">
      <alignment horizontal="center" vertical="center"/>
    </xf>
    <xf numFmtId="184" fontId="19" fillId="0" borderId="0" xfId="0" applyNumberFormat="1" applyFont="1" applyFill="1" applyAlignment="1">
      <alignment horizontal="center" vertical="center"/>
    </xf>
    <xf numFmtId="190" fontId="19" fillId="0" borderId="0" xfId="0" applyNumberFormat="1" applyFont="1" applyFill="1" applyAlignment="1">
      <alignment horizontal="center" vertical="center"/>
    </xf>
    <xf numFmtId="184" fontId="19" fillId="0" borderId="0" xfId="0" applyNumberFormat="1" applyFont="1" applyFill="1" applyAlignment="1">
      <alignment horizontal="center" vertical="center"/>
    </xf>
    <xf numFmtId="189" fontId="19" fillId="0" borderId="0" xfId="0" applyNumberFormat="1" applyFont="1" applyFill="1" applyAlignment="1">
      <alignment horizontal="center" vertical="center"/>
    </xf>
    <xf numFmtId="190" fontId="19" fillId="0" borderId="0" xfId="0" applyNumberFormat="1" applyFont="1" applyFill="1" applyAlignment="1">
      <alignment horizontal="center" vertical="center"/>
    </xf>
    <xf numFmtId="184" fontId="19" fillId="0" borderId="0" xfId="0" applyNumberFormat="1" applyFont="1" applyFill="1" applyAlignment="1">
      <alignment horizontal="center" vertical="center"/>
    </xf>
    <xf numFmtId="190" fontId="19" fillId="0" borderId="0" xfId="0" applyNumberFormat="1" applyFont="1" applyFill="1" applyAlignment="1">
      <alignment horizontal="center" vertical="center"/>
    </xf>
    <xf numFmtId="184" fontId="19" fillId="0" borderId="0" xfId="0" applyNumberFormat="1" applyFont="1" applyFill="1" applyAlignment="1">
      <alignment horizontal="center" vertical="center"/>
    </xf>
    <xf numFmtId="190" fontId="19" fillId="0" borderId="0" xfId="0" applyNumberFormat="1" applyFont="1" applyFill="1" applyAlignment="1">
      <alignment horizontal="center" vertical="center"/>
    </xf>
    <xf numFmtId="184" fontId="19" fillId="0" borderId="0" xfId="0" applyNumberFormat="1" applyFont="1" applyFill="1" applyAlignment="1">
      <alignment horizontal="center" vertical="center"/>
    </xf>
    <xf numFmtId="189" fontId="19" fillId="0" borderId="0" xfId="0" applyNumberFormat="1" applyFont="1" applyFill="1" applyAlignment="1">
      <alignment horizontal="center" vertical="center"/>
    </xf>
    <xf numFmtId="190" fontId="19" fillId="0" borderId="0" xfId="0" applyNumberFormat="1" applyFont="1" applyFill="1" applyAlignment="1">
      <alignment horizontal="center" vertical="center"/>
    </xf>
    <xf numFmtId="184" fontId="19" fillId="0" borderId="0" xfId="0" applyNumberFormat="1" applyFont="1" applyFill="1" applyAlignment="1">
      <alignment horizontal="center" vertical="center"/>
    </xf>
    <xf numFmtId="190" fontId="19" fillId="0" borderId="0" xfId="0" applyNumberFormat="1" applyFont="1" applyFill="1" applyAlignment="1">
      <alignment horizontal="center" vertical="center"/>
    </xf>
    <xf numFmtId="184" fontId="19" fillId="0" borderId="0" xfId="0" applyNumberFormat="1" applyFont="1" applyFill="1" applyAlignment="1">
      <alignment horizontal="center" vertical="center"/>
    </xf>
    <xf numFmtId="190" fontId="19" fillId="0" borderId="0" xfId="0" applyNumberFormat="1" applyFont="1" applyFill="1" applyAlignment="1">
      <alignment horizontal="center" vertical="center"/>
    </xf>
    <xf numFmtId="184" fontId="19" fillId="0" borderId="0" xfId="0" applyNumberFormat="1" applyFont="1" applyFill="1" applyAlignment="1">
      <alignment horizontal="center" vertical="center"/>
    </xf>
    <xf numFmtId="189" fontId="19" fillId="0" borderId="0" xfId="0" applyNumberFormat="1" applyFont="1" applyFill="1" applyAlignment="1">
      <alignment horizontal="center" vertical="center"/>
    </xf>
    <xf numFmtId="190" fontId="19" fillId="0" borderId="0" xfId="0" applyNumberFormat="1" applyFont="1" applyFill="1" applyAlignment="1">
      <alignment horizontal="center" vertical="center"/>
    </xf>
    <xf numFmtId="184" fontId="19" fillId="0" borderId="0" xfId="0" applyNumberFormat="1" applyFont="1" applyFill="1" applyAlignment="1">
      <alignment horizontal="center" vertical="center"/>
    </xf>
    <xf numFmtId="190" fontId="19" fillId="0" borderId="0" xfId="0" applyNumberFormat="1" applyFont="1" applyFill="1" applyAlignment="1">
      <alignment horizontal="center" vertical="center"/>
    </xf>
    <xf numFmtId="184" fontId="19" fillId="0" borderId="0" xfId="0" applyNumberFormat="1" applyFont="1" applyFill="1" applyAlignment="1">
      <alignment horizontal="center" vertical="center"/>
    </xf>
    <xf numFmtId="190" fontId="19" fillId="0" borderId="0" xfId="0" applyNumberFormat="1" applyFont="1" applyFill="1" applyAlignment="1">
      <alignment horizontal="center" vertical="center"/>
    </xf>
    <xf numFmtId="196" fontId="5" fillId="0" borderId="0" xfId="0" applyNumberFormat="1" applyFont="1" applyAlignment="1">
      <alignment horizontal="left" vertical="center"/>
    </xf>
    <xf numFmtId="0" fontId="6" fillId="0" borderId="0" xfId="0" applyFont="1" applyAlignment="1">
      <alignment vertical="center"/>
    </xf>
  </cellXfs>
  <cellStyles count="25">
    <cellStyle name="Normal" xfId="0"/>
    <cellStyle name="Comma" xfId="15"/>
    <cellStyle name="Comma [0]_laroux" xfId="16"/>
    <cellStyle name="Comma_단면특성 (정) (2)" xfId="17"/>
    <cellStyle name="Currency" xfId="18"/>
    <cellStyle name="Currency [0]_laroux" xfId="19"/>
    <cellStyle name="Currency_단면특성 (정) (2)" xfId="20"/>
    <cellStyle name="Date" xfId="21"/>
    <cellStyle name="Fixed" xfId="22"/>
    <cellStyle name="Header1" xfId="23"/>
    <cellStyle name="Header2" xfId="24"/>
    <cellStyle name="Heading1" xfId="25"/>
    <cellStyle name="Heading2" xfId="26"/>
    <cellStyle name="Normal_Certs Q2" xfId="27"/>
    <cellStyle name="Percent" xfId="28"/>
    <cellStyle name="Total" xfId="29"/>
    <cellStyle name="Percent" xfId="30"/>
    <cellStyle name="Hyperlink" xfId="31"/>
    <cellStyle name="Comma [0]" xfId="32"/>
    <cellStyle name="Comma" xfId="33"/>
    <cellStyle name="Currency [0]" xfId="34"/>
    <cellStyle name="Currency" xfId="35"/>
    <cellStyle name="Followed Hyperlink" xfId="36"/>
    <cellStyle name="콤마 [0]_12월전화" xfId="37"/>
    <cellStyle name="콤마_12월전화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Hangil IT\ASteelBox\_tmpw0.wmf" TargetMode="External" /><Relationship Id="rId2" Type="http://schemas.openxmlformats.org/officeDocument/2006/relationships/image" Target="file://C:\Program Files\Hangil IT\ASteelBox\_tmpw1.wmf" TargetMode="External" /><Relationship Id="rId3" Type="http://schemas.openxmlformats.org/officeDocument/2006/relationships/image" Target="file://C:\Program Files\Hangil IT\ASteelBox\_tmpw2.wmf" TargetMode="External" /><Relationship Id="rId4" Type="http://schemas.openxmlformats.org/officeDocument/2006/relationships/image" Target="file://C:\Program Files\Hangil IT\ASteelBox\_tmpw3.wmf" TargetMode="External" /><Relationship Id="rId5" Type="http://schemas.openxmlformats.org/officeDocument/2006/relationships/image" Target="file://C:\Program Files\Hangil IT\ASteelBox\_tmpw4.wmf" TargetMode="External" /><Relationship Id="rId6" Type="http://schemas.openxmlformats.org/officeDocument/2006/relationships/image" Target="file://C:\Program Files\Hangil IT\ASteelBox\_tmpw5.wm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5</xdr:row>
      <xdr:rowOff>0</xdr:rowOff>
    </xdr:from>
    <xdr:to>
      <xdr:col>26</xdr:col>
      <xdr:colOff>133350</xdr:colOff>
      <xdr:row>16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143000"/>
          <a:ext cx="3333750" cy="2724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40</xdr:row>
      <xdr:rowOff>0</xdr:rowOff>
    </xdr:from>
    <xdr:to>
      <xdr:col>26</xdr:col>
      <xdr:colOff>114300</xdr:colOff>
      <xdr:row>48</xdr:row>
      <xdr:rowOff>190500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0" y="9144000"/>
          <a:ext cx="2552700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120</xdr:row>
      <xdr:rowOff>0</xdr:rowOff>
    </xdr:from>
    <xdr:to>
      <xdr:col>26</xdr:col>
      <xdr:colOff>133350</xdr:colOff>
      <xdr:row>131</xdr:row>
      <xdr:rowOff>209550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432000"/>
          <a:ext cx="3333750" cy="2724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155</xdr:row>
      <xdr:rowOff>0</xdr:rowOff>
    </xdr:from>
    <xdr:to>
      <xdr:col>26</xdr:col>
      <xdr:colOff>114300</xdr:colOff>
      <xdr:row>163</xdr:row>
      <xdr:rowOff>190500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0" y="35433000"/>
          <a:ext cx="2552700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237</xdr:row>
      <xdr:rowOff>0</xdr:rowOff>
    </xdr:from>
    <xdr:to>
      <xdr:col>26</xdr:col>
      <xdr:colOff>133350</xdr:colOff>
      <xdr:row>248</xdr:row>
      <xdr:rowOff>209550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54178200"/>
          <a:ext cx="3333750" cy="2724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272</xdr:row>
      <xdr:rowOff>0</xdr:rowOff>
    </xdr:from>
    <xdr:to>
      <xdr:col>26</xdr:col>
      <xdr:colOff>114300</xdr:colOff>
      <xdr:row>280</xdr:row>
      <xdr:rowOff>190500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0" y="62179200"/>
          <a:ext cx="2552700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354</xdr:row>
      <xdr:rowOff>0</xdr:rowOff>
    </xdr:from>
    <xdr:to>
      <xdr:col>26</xdr:col>
      <xdr:colOff>133350</xdr:colOff>
      <xdr:row>365</xdr:row>
      <xdr:rowOff>209550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80924400"/>
          <a:ext cx="3333750" cy="2724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389</xdr:row>
      <xdr:rowOff>0</xdr:rowOff>
    </xdr:from>
    <xdr:to>
      <xdr:col>26</xdr:col>
      <xdr:colOff>114300</xdr:colOff>
      <xdr:row>397</xdr:row>
      <xdr:rowOff>190500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0" y="88925400"/>
          <a:ext cx="2552700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471</xdr:row>
      <xdr:rowOff>0</xdr:rowOff>
    </xdr:from>
    <xdr:to>
      <xdr:col>26</xdr:col>
      <xdr:colOff>133350</xdr:colOff>
      <xdr:row>482</xdr:row>
      <xdr:rowOff>209550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07670600"/>
          <a:ext cx="3333750" cy="2724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506</xdr:row>
      <xdr:rowOff>0</xdr:rowOff>
    </xdr:from>
    <xdr:to>
      <xdr:col>26</xdr:col>
      <xdr:colOff>114300</xdr:colOff>
      <xdr:row>514</xdr:row>
      <xdr:rowOff>190500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0" y="115671600"/>
          <a:ext cx="2552700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5</xdr:row>
      <xdr:rowOff>0</xdr:rowOff>
    </xdr:from>
    <xdr:to>
      <xdr:col>26</xdr:col>
      <xdr:colOff>133350</xdr:colOff>
      <xdr:row>16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143000"/>
          <a:ext cx="3333750" cy="2724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40</xdr:row>
      <xdr:rowOff>0</xdr:rowOff>
    </xdr:from>
    <xdr:to>
      <xdr:col>26</xdr:col>
      <xdr:colOff>114300</xdr:colOff>
      <xdr:row>48</xdr:row>
      <xdr:rowOff>190500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0" y="9144000"/>
          <a:ext cx="2552700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5</xdr:row>
      <xdr:rowOff>0</xdr:rowOff>
    </xdr:from>
    <xdr:to>
      <xdr:col>26</xdr:col>
      <xdr:colOff>133350</xdr:colOff>
      <xdr:row>16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143000"/>
          <a:ext cx="3333750" cy="2724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40</xdr:row>
      <xdr:rowOff>0</xdr:rowOff>
    </xdr:from>
    <xdr:to>
      <xdr:col>26</xdr:col>
      <xdr:colOff>114300</xdr:colOff>
      <xdr:row>48</xdr:row>
      <xdr:rowOff>190500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0" y="9144000"/>
          <a:ext cx="2552700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120</xdr:row>
      <xdr:rowOff>0</xdr:rowOff>
    </xdr:from>
    <xdr:to>
      <xdr:col>26</xdr:col>
      <xdr:colOff>133350</xdr:colOff>
      <xdr:row>131</xdr:row>
      <xdr:rowOff>209550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7432000"/>
          <a:ext cx="3333750" cy="2724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155</xdr:row>
      <xdr:rowOff>0</xdr:rowOff>
    </xdr:from>
    <xdr:to>
      <xdr:col>26</xdr:col>
      <xdr:colOff>114300</xdr:colOff>
      <xdr:row>163</xdr:row>
      <xdr:rowOff>190500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0" y="35433000"/>
          <a:ext cx="2552700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237</xdr:row>
      <xdr:rowOff>0</xdr:rowOff>
    </xdr:from>
    <xdr:to>
      <xdr:col>26</xdr:col>
      <xdr:colOff>133350</xdr:colOff>
      <xdr:row>248</xdr:row>
      <xdr:rowOff>209550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54178200"/>
          <a:ext cx="3333750" cy="2724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272</xdr:row>
      <xdr:rowOff>0</xdr:rowOff>
    </xdr:from>
    <xdr:to>
      <xdr:col>26</xdr:col>
      <xdr:colOff>114300</xdr:colOff>
      <xdr:row>280</xdr:row>
      <xdr:rowOff>190500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0" y="62179200"/>
          <a:ext cx="2552700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354</xdr:row>
      <xdr:rowOff>0</xdr:rowOff>
    </xdr:from>
    <xdr:to>
      <xdr:col>26</xdr:col>
      <xdr:colOff>133350</xdr:colOff>
      <xdr:row>365</xdr:row>
      <xdr:rowOff>209550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80924400"/>
          <a:ext cx="3333750" cy="2724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389</xdr:row>
      <xdr:rowOff>0</xdr:rowOff>
    </xdr:from>
    <xdr:to>
      <xdr:col>26</xdr:col>
      <xdr:colOff>114300</xdr:colOff>
      <xdr:row>397</xdr:row>
      <xdr:rowOff>190500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0" y="88925400"/>
          <a:ext cx="2552700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471</xdr:row>
      <xdr:rowOff>0</xdr:rowOff>
    </xdr:from>
    <xdr:to>
      <xdr:col>26</xdr:col>
      <xdr:colOff>133350</xdr:colOff>
      <xdr:row>482</xdr:row>
      <xdr:rowOff>209550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07670600"/>
          <a:ext cx="3333750" cy="2724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506</xdr:row>
      <xdr:rowOff>0</xdr:rowOff>
    </xdr:from>
    <xdr:to>
      <xdr:col>26</xdr:col>
      <xdr:colOff>114300</xdr:colOff>
      <xdr:row>514</xdr:row>
      <xdr:rowOff>190500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0" y="115671600"/>
          <a:ext cx="2552700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588</xdr:row>
      <xdr:rowOff>0</xdr:rowOff>
    </xdr:from>
    <xdr:to>
      <xdr:col>26</xdr:col>
      <xdr:colOff>133350</xdr:colOff>
      <xdr:row>599</xdr:row>
      <xdr:rowOff>209550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34416800"/>
          <a:ext cx="3333750" cy="2724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623</xdr:row>
      <xdr:rowOff>0</xdr:rowOff>
    </xdr:from>
    <xdr:to>
      <xdr:col>26</xdr:col>
      <xdr:colOff>114300</xdr:colOff>
      <xdr:row>631</xdr:row>
      <xdr:rowOff>190500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0" y="142417800"/>
          <a:ext cx="2552700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2</xdr:row>
      <xdr:rowOff>0</xdr:rowOff>
    </xdr:from>
    <xdr:to>
      <xdr:col>58</xdr:col>
      <xdr:colOff>190500</xdr:colOff>
      <xdr:row>17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85750" y="457200"/>
          <a:ext cx="13716000" cy="3552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22</xdr:row>
      <xdr:rowOff>0</xdr:rowOff>
    </xdr:from>
    <xdr:to>
      <xdr:col>58</xdr:col>
      <xdr:colOff>190500</xdr:colOff>
      <xdr:row>30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85750" y="5029200"/>
          <a:ext cx="1371600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35</xdr:row>
      <xdr:rowOff>0</xdr:rowOff>
    </xdr:from>
    <xdr:to>
      <xdr:col>58</xdr:col>
      <xdr:colOff>190500</xdr:colOff>
      <xdr:row>56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285750" y="8001000"/>
          <a:ext cx="13716000" cy="491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39</xdr:row>
      <xdr:rowOff>0</xdr:rowOff>
    </xdr:from>
    <xdr:to>
      <xdr:col>58</xdr:col>
      <xdr:colOff>190500</xdr:colOff>
      <xdr:row>54</xdr:row>
      <xdr:rowOff>180975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285750" y="8915400"/>
          <a:ext cx="13716000" cy="3609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59</xdr:row>
      <xdr:rowOff>0</xdr:rowOff>
    </xdr:from>
    <xdr:to>
      <xdr:col>58</xdr:col>
      <xdr:colOff>190500</xdr:colOff>
      <xdr:row>67</xdr:row>
      <xdr:rowOff>114300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link="rId5"/>
        <a:stretch>
          <a:fillRect/>
        </a:stretch>
      </xdr:blipFill>
      <xdr:spPr>
        <a:xfrm>
          <a:off x="285750" y="13487400"/>
          <a:ext cx="13716000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72</xdr:row>
      <xdr:rowOff>0</xdr:rowOff>
    </xdr:from>
    <xdr:to>
      <xdr:col>58</xdr:col>
      <xdr:colOff>190500</xdr:colOff>
      <xdr:row>93</xdr:row>
      <xdr:rowOff>190500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link="rId6"/>
        <a:stretch>
          <a:fillRect/>
        </a:stretch>
      </xdr:blipFill>
      <xdr:spPr>
        <a:xfrm>
          <a:off x="285750" y="16459200"/>
          <a:ext cx="13716000" cy="499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579"/>
  <sheetViews>
    <sheetView tabSelected="1" zoomScaleSheetLayoutView="100" workbookViewId="0" topLeftCell="A1">
      <selection activeCell="A1" sqref="A1:IV16384"/>
    </sheetView>
  </sheetViews>
  <sheetFormatPr defaultColWidth="8.88671875" defaultRowHeight="18" customHeight="1"/>
  <cols>
    <col min="1" max="16384" width="1.77734375" style="53" customWidth="1"/>
  </cols>
  <sheetData>
    <row r="1" ht="18" customHeight="1">
      <c r="A1" s="52" t="s">
        <v>152</v>
      </c>
    </row>
    <row r="3" spans="1:25" ht="18" customHeight="1">
      <c r="A3" s="54" t="s">
        <v>153</v>
      </c>
      <c r="G3" s="55">
        <v>1</v>
      </c>
      <c r="H3" s="55"/>
      <c r="I3" s="53" t="s">
        <v>63</v>
      </c>
      <c r="K3" s="53" t="s">
        <v>109</v>
      </c>
      <c r="M3" s="55">
        <v>18</v>
      </c>
      <c r="N3" s="55"/>
      <c r="O3" s="53" t="s">
        <v>64</v>
      </c>
      <c r="V3" s="56">
        <v>0.638</v>
      </c>
      <c r="W3" s="56"/>
      <c r="X3" s="56"/>
      <c r="Y3" s="53" t="s">
        <v>65</v>
      </c>
    </row>
    <row r="4" spans="1:70" ht="18" customHeight="1">
      <c r="A4" s="57" t="s">
        <v>110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 t="s">
        <v>111</v>
      </c>
      <c r="AA4" s="3"/>
      <c r="AB4" s="3"/>
      <c r="AC4" s="3"/>
      <c r="AD4" s="3"/>
      <c r="AE4" s="3"/>
      <c r="AF4" s="3"/>
      <c r="AG4" s="58" t="s">
        <v>11</v>
      </c>
      <c r="AH4" s="59"/>
      <c r="AI4" s="59"/>
      <c r="AJ4" s="59"/>
      <c r="AK4" s="60" t="s">
        <v>1</v>
      </c>
      <c r="AL4" s="3"/>
      <c r="AM4" s="3"/>
      <c r="AN4" s="3"/>
      <c r="AO4" s="3"/>
      <c r="AP4" s="3"/>
      <c r="AQ4" s="3"/>
      <c r="AU4" s="61"/>
      <c r="AX4" s="62"/>
      <c r="AY4" s="62"/>
      <c r="AZ4" s="62"/>
      <c r="BA4" s="62"/>
      <c r="BB4" s="62"/>
      <c r="BC4" s="62"/>
      <c r="BD4" s="62"/>
      <c r="BM4" s="62"/>
      <c r="BN4" s="62"/>
      <c r="BO4" s="62"/>
      <c r="BP4" s="62"/>
      <c r="BQ4" s="62"/>
      <c r="BR4" s="62"/>
    </row>
    <row r="5" spans="1:70" ht="18" customHeight="1">
      <c r="A5" s="3"/>
      <c r="B5" s="3"/>
      <c r="C5" s="3"/>
      <c r="D5" s="3"/>
      <c r="E5" s="63"/>
      <c r="F5" s="63"/>
      <c r="G5" s="63"/>
      <c r="H5" s="63"/>
      <c r="I5" s="63"/>
      <c r="J5" s="63"/>
      <c r="K5" s="63"/>
      <c r="M5" s="62"/>
      <c r="N5" s="62"/>
      <c r="O5" s="62"/>
      <c r="P5" s="62"/>
      <c r="Q5" s="62"/>
      <c r="R5" s="62"/>
      <c r="S5" s="62"/>
      <c r="T5" s="63"/>
      <c r="U5" s="63"/>
      <c r="V5" s="63"/>
      <c r="W5" s="63"/>
      <c r="X5" s="63"/>
      <c r="Y5" s="63"/>
      <c r="Z5" s="3"/>
      <c r="AA5" s="3"/>
      <c r="AB5" s="3"/>
      <c r="AC5" s="3"/>
      <c r="AD5" s="3"/>
      <c r="AX5" s="62"/>
      <c r="AY5" s="62"/>
      <c r="AZ5" s="62"/>
      <c r="BA5" s="62"/>
      <c r="BB5" s="62"/>
      <c r="BC5" s="62"/>
      <c r="BD5" s="62"/>
      <c r="BM5" s="62"/>
      <c r="BN5" s="62"/>
      <c r="BO5" s="62"/>
      <c r="BP5" s="62"/>
      <c r="BQ5" s="62"/>
      <c r="BR5" s="62"/>
    </row>
    <row r="6" spans="1:50" ht="18" customHeight="1">
      <c r="A6" s="3"/>
      <c r="B6" s="3"/>
      <c r="C6" s="3"/>
      <c r="D6" s="3"/>
      <c r="E6" s="63"/>
      <c r="F6" s="63"/>
      <c r="G6" s="63"/>
      <c r="L6" s="62"/>
      <c r="M6" s="62"/>
      <c r="N6" s="62"/>
      <c r="O6" s="62"/>
      <c r="P6" s="62"/>
      <c r="Q6" s="62"/>
      <c r="R6" s="62"/>
      <c r="S6" s="62"/>
      <c r="W6" s="62"/>
      <c r="X6" s="63"/>
      <c r="Y6" s="63"/>
      <c r="Z6" s="3"/>
      <c r="AA6" s="3"/>
      <c r="AB6" s="3"/>
      <c r="AC6" s="3"/>
      <c r="AD6" s="3"/>
      <c r="AE6" s="57" t="s">
        <v>66</v>
      </c>
      <c r="AF6" s="3"/>
      <c r="AG6" s="58">
        <v>2.6</v>
      </c>
      <c r="AH6" s="58"/>
      <c r="AI6" s="58"/>
      <c r="AJ6" s="3" t="s">
        <v>65</v>
      </c>
      <c r="AK6" s="3"/>
      <c r="AL6" s="3"/>
      <c r="AM6" s="3"/>
      <c r="AN6" s="3"/>
      <c r="AO6" s="3"/>
      <c r="AP6" s="3"/>
      <c r="AQ6" s="3"/>
      <c r="AX6" s="62"/>
    </row>
    <row r="7" spans="1:43" ht="18" customHeight="1">
      <c r="A7" s="3"/>
      <c r="B7" s="3"/>
      <c r="C7" s="3"/>
      <c r="D7" s="3"/>
      <c r="E7" s="3"/>
      <c r="F7" s="3"/>
      <c r="G7" s="3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3"/>
      <c r="X7" s="3"/>
      <c r="Y7" s="3"/>
      <c r="Z7" s="3"/>
      <c r="AA7" s="3"/>
      <c r="AB7" s="3"/>
      <c r="AC7" s="3"/>
      <c r="AD7" s="3"/>
      <c r="AE7" s="3" t="s">
        <v>112</v>
      </c>
      <c r="AF7" s="3"/>
      <c r="AG7" s="58">
        <v>1.2</v>
      </c>
      <c r="AH7" s="58"/>
      <c r="AI7" s="58"/>
      <c r="AJ7" s="3" t="s">
        <v>113</v>
      </c>
      <c r="AK7" s="3" t="s">
        <v>114</v>
      </c>
      <c r="AL7" s="3"/>
      <c r="AM7" s="58">
        <v>1.2</v>
      </c>
      <c r="AN7" s="58"/>
      <c r="AO7" s="58"/>
      <c r="AP7" s="3" t="s">
        <v>115</v>
      </c>
      <c r="AQ7" s="3"/>
    </row>
    <row r="8" spans="1:36" ht="18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C8" s="3"/>
      <c r="AD8" s="3"/>
      <c r="AE8" s="3" t="s">
        <v>116</v>
      </c>
      <c r="AF8" s="3"/>
      <c r="AG8" s="58">
        <v>2.1</v>
      </c>
      <c r="AH8" s="58"/>
      <c r="AI8" s="58"/>
      <c r="AJ8" s="3" t="s">
        <v>115</v>
      </c>
    </row>
    <row r="9" spans="1:43" ht="18" customHeight="1">
      <c r="A9" s="3"/>
      <c r="B9" s="3"/>
      <c r="C9" s="3"/>
      <c r="D9" s="3"/>
      <c r="E9" s="3"/>
      <c r="F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64"/>
      <c r="AC9" s="3"/>
      <c r="AD9" s="3"/>
      <c r="AE9" s="57" t="s">
        <v>51</v>
      </c>
      <c r="AK9" s="3"/>
      <c r="AL9" s="3"/>
      <c r="AM9" s="3"/>
      <c r="AN9" s="3"/>
      <c r="AO9" s="3"/>
      <c r="AP9" s="3"/>
      <c r="AQ9" s="3"/>
    </row>
    <row r="10" spans="1:43" ht="18" customHeight="1">
      <c r="A10" s="3"/>
      <c r="B10" s="3"/>
      <c r="C10" s="3"/>
      <c r="D10" s="3"/>
      <c r="E10" s="3"/>
      <c r="F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C10" s="3"/>
      <c r="AD10" s="3"/>
      <c r="AE10" s="57" t="s">
        <v>117</v>
      </c>
      <c r="AF10" s="3"/>
      <c r="AG10" s="33">
        <f>AG7+AM7+AG16*2</f>
        <v>2.6399999999999997</v>
      </c>
      <c r="AH10" s="33"/>
      <c r="AI10" s="33"/>
      <c r="AJ10" s="3" t="s">
        <v>113</v>
      </c>
      <c r="AK10" s="57" t="s">
        <v>118</v>
      </c>
      <c r="AL10" s="3"/>
      <c r="AM10" s="33">
        <f>AG8+AG17*2</f>
        <v>2.34</v>
      </c>
      <c r="AN10" s="33"/>
      <c r="AO10" s="33"/>
      <c r="AP10" s="3" t="s">
        <v>115</v>
      </c>
      <c r="AQ10" s="3"/>
    </row>
    <row r="11" spans="1:53" ht="18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65" t="str">
        <f>C32&amp;" - "&amp;AG18&amp;" x "&amp;AJ18</f>
        <v>5 - 150 x 14</v>
      </c>
      <c r="N11" s="65"/>
      <c r="O11" s="65"/>
      <c r="P11" s="65"/>
      <c r="Q11" s="65"/>
      <c r="R11" s="65"/>
      <c r="S11" s="3"/>
      <c r="T11" s="3"/>
      <c r="U11" s="3"/>
      <c r="V11" s="3"/>
      <c r="W11" s="3"/>
      <c r="X11" s="3"/>
      <c r="Y11" s="3"/>
      <c r="Z11" s="3"/>
      <c r="AA11" s="3"/>
      <c r="AC11" s="3"/>
      <c r="AD11" s="3"/>
      <c r="AE11" s="57" t="s">
        <v>119</v>
      </c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U11" s="3"/>
      <c r="AV11" s="3"/>
      <c r="AW11" s="3"/>
      <c r="AX11" s="3"/>
      <c r="AY11" s="3"/>
      <c r="AZ11" s="3"/>
      <c r="BA11" s="3"/>
    </row>
    <row r="12" spans="1:81" ht="18" customHeight="1">
      <c r="A12" s="3"/>
      <c r="B12" s="3"/>
      <c r="C12" s="3"/>
      <c r="D12" s="3"/>
      <c r="E12" s="3"/>
      <c r="F12" s="3"/>
      <c r="G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C12" s="3"/>
      <c r="AD12" s="3"/>
      <c r="AE12" s="57" t="s">
        <v>120</v>
      </c>
      <c r="AF12" s="3"/>
      <c r="AG12" s="58">
        <v>2.64</v>
      </c>
      <c r="AH12" s="58"/>
      <c r="AI12" s="58"/>
      <c r="AJ12" s="3" t="s">
        <v>113</v>
      </c>
      <c r="AK12" s="57" t="s">
        <v>121</v>
      </c>
      <c r="AL12" s="3"/>
      <c r="AM12" s="58">
        <v>2.34</v>
      </c>
      <c r="AN12" s="58"/>
      <c r="AO12" s="58"/>
      <c r="AP12" s="3" t="s">
        <v>115</v>
      </c>
      <c r="AQ12" s="3"/>
      <c r="AU12" s="3"/>
      <c r="AV12" s="3"/>
      <c r="AW12" s="3"/>
      <c r="AX12" s="3"/>
      <c r="AY12" s="3"/>
      <c r="AZ12" s="3"/>
      <c r="BA12" s="3"/>
      <c r="CA12" s="66"/>
      <c r="CB12" s="66"/>
      <c r="CC12" s="66"/>
    </row>
    <row r="13" spans="1:81" ht="18" customHeight="1">
      <c r="A13" s="3"/>
      <c r="B13" s="3"/>
      <c r="C13" s="3"/>
      <c r="D13" s="67" t="s">
        <v>154</v>
      </c>
      <c r="E13" s="67"/>
      <c r="F13" s="68">
        <f>DEGREES(ATAN((AG7-AG8/2)/AG6))</f>
        <v>3.301865674435001</v>
      </c>
      <c r="G13" s="68"/>
      <c r="H13" s="68"/>
      <c r="I13" s="69" t="s">
        <v>122</v>
      </c>
      <c r="J13" s="3"/>
      <c r="K13" s="3"/>
      <c r="L13" s="3"/>
      <c r="M13" s="3"/>
      <c r="N13" s="65" t="str">
        <f>C35&amp;" - "&amp;AN18&amp;" x "&amp;AQ18</f>
        <v>2 - 150 x 14</v>
      </c>
      <c r="O13" s="65"/>
      <c r="P13" s="65"/>
      <c r="Q13" s="65"/>
      <c r="R13" s="65"/>
      <c r="S13" s="65"/>
      <c r="T13" s="3"/>
      <c r="U13" s="3"/>
      <c r="V13" s="67" t="s">
        <v>155</v>
      </c>
      <c r="W13" s="67"/>
      <c r="X13" s="68">
        <f>DEGREES(ATAN((AM7-AG8/2)/AG6))</f>
        <v>3.301865674435001</v>
      </c>
      <c r="Y13" s="68"/>
      <c r="Z13" s="68"/>
      <c r="AA13" s="69" t="s">
        <v>122</v>
      </c>
      <c r="AB13" s="3"/>
      <c r="AC13" s="3"/>
      <c r="AD13" s="3"/>
      <c r="AE13" s="57" t="s">
        <v>67</v>
      </c>
      <c r="AF13" s="3"/>
      <c r="AG13" s="58">
        <v>0.012</v>
      </c>
      <c r="AH13" s="58"/>
      <c r="AI13" s="58"/>
      <c r="AJ13" s="3" t="s">
        <v>65</v>
      </c>
      <c r="AK13" s="3"/>
      <c r="AL13" s="3"/>
      <c r="AM13" s="3"/>
      <c r="AN13" s="3"/>
      <c r="AO13" s="3"/>
      <c r="AP13" s="3"/>
      <c r="AQ13" s="3"/>
      <c r="AU13" s="3"/>
      <c r="AV13" s="3"/>
      <c r="AW13" s="67"/>
      <c r="AX13" s="67"/>
      <c r="AY13" s="3"/>
      <c r="AZ13" s="3"/>
      <c r="BA13" s="3"/>
      <c r="CA13" s="66"/>
      <c r="CB13" s="66"/>
      <c r="CC13" s="66"/>
    </row>
    <row r="14" spans="1:81" ht="18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57" t="s">
        <v>68</v>
      </c>
      <c r="AF14" s="3"/>
      <c r="AG14" s="58">
        <v>0.012</v>
      </c>
      <c r="AH14" s="58"/>
      <c r="AI14" s="58"/>
      <c r="AJ14" s="3" t="s">
        <v>65</v>
      </c>
      <c r="AK14" s="3"/>
      <c r="AL14" s="3"/>
      <c r="AM14" s="3"/>
      <c r="AN14" s="3"/>
      <c r="AO14" s="3"/>
      <c r="AP14" s="3"/>
      <c r="AQ14" s="3"/>
      <c r="AU14" s="3"/>
      <c r="AV14" s="3"/>
      <c r="AW14" s="3"/>
      <c r="AX14" s="3"/>
      <c r="AY14" s="3"/>
      <c r="AZ14" s="3"/>
      <c r="BA14" s="3"/>
      <c r="CA14" s="66"/>
      <c r="CB14" s="66"/>
      <c r="CC14" s="66"/>
    </row>
    <row r="15" spans="1:81" ht="18" customHeight="1">
      <c r="A15" s="3"/>
      <c r="B15" s="3"/>
      <c r="C15" s="3"/>
      <c r="D15" s="3"/>
      <c r="E15" s="3"/>
      <c r="F15" s="3"/>
      <c r="G15" s="3"/>
      <c r="H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57" t="s">
        <v>69</v>
      </c>
      <c r="AF15" s="3"/>
      <c r="AG15" s="58">
        <v>0.01</v>
      </c>
      <c r="AH15" s="58"/>
      <c r="AI15" s="58"/>
      <c r="AJ15" s="3" t="s">
        <v>65</v>
      </c>
      <c r="AK15" s="3"/>
      <c r="AL15" s="3"/>
      <c r="AM15" s="3"/>
      <c r="AN15" s="3"/>
      <c r="AO15" s="3"/>
      <c r="AP15" s="3"/>
      <c r="AQ15" s="3"/>
      <c r="AU15" s="3"/>
      <c r="AV15" s="3"/>
      <c r="AW15" s="3"/>
      <c r="AX15" s="3"/>
      <c r="AY15" s="3"/>
      <c r="AZ15" s="3"/>
      <c r="BA15" s="3"/>
      <c r="CA15" s="66"/>
      <c r="CB15" s="66"/>
      <c r="CC15" s="66"/>
    </row>
    <row r="16" spans="1:81" ht="18" customHeight="1">
      <c r="A16" s="3"/>
      <c r="B16" s="3"/>
      <c r="E16" s="62"/>
      <c r="F16" s="62"/>
      <c r="G16" s="62"/>
      <c r="H16" s="62"/>
      <c r="I16" s="62"/>
      <c r="J16" s="70"/>
      <c r="K16" s="62"/>
      <c r="L16" s="62"/>
      <c r="M16" s="62"/>
      <c r="N16" s="62"/>
      <c r="O16" s="62"/>
      <c r="P16" s="62"/>
      <c r="Q16" s="62"/>
      <c r="R16" s="62"/>
      <c r="S16" s="62"/>
      <c r="T16" s="71"/>
      <c r="U16" s="62"/>
      <c r="V16" s="62"/>
      <c r="AD16" s="3"/>
      <c r="AE16" s="53" t="s">
        <v>123</v>
      </c>
      <c r="AG16" s="56">
        <v>0.12</v>
      </c>
      <c r="AH16" s="56"/>
      <c r="AI16" s="56"/>
      <c r="AJ16" s="53" t="s">
        <v>65</v>
      </c>
      <c r="AK16" s="3"/>
      <c r="AL16" s="3"/>
      <c r="AM16" s="3"/>
      <c r="AN16" s="3"/>
      <c r="AO16" s="3"/>
      <c r="AP16" s="3"/>
      <c r="AQ16" s="3"/>
      <c r="AU16" s="3"/>
      <c r="AV16" s="3"/>
      <c r="AW16" s="3"/>
      <c r="AX16" s="63"/>
      <c r="AY16" s="3"/>
      <c r="AZ16" s="3"/>
      <c r="BA16" s="3"/>
      <c r="CA16" s="66"/>
      <c r="CB16" s="66"/>
      <c r="CC16" s="66"/>
    </row>
    <row r="17" spans="5:50" ht="18" customHeight="1">
      <c r="E17" s="62"/>
      <c r="F17" s="62"/>
      <c r="G17" s="62"/>
      <c r="H17" s="62"/>
      <c r="I17" s="62"/>
      <c r="J17" s="62"/>
      <c r="K17" s="62"/>
      <c r="N17" s="62"/>
      <c r="O17" s="62"/>
      <c r="P17" s="62"/>
      <c r="Q17" s="62"/>
      <c r="R17" s="62"/>
      <c r="S17" s="62"/>
      <c r="T17" s="62"/>
      <c r="U17" s="62"/>
      <c r="V17" s="62"/>
      <c r="AE17" s="53" t="s">
        <v>124</v>
      </c>
      <c r="AG17" s="56">
        <v>0.12</v>
      </c>
      <c r="AH17" s="56"/>
      <c r="AI17" s="56"/>
      <c r="AJ17" s="53" t="s">
        <v>65</v>
      </c>
      <c r="AX17" s="62"/>
    </row>
    <row r="18" spans="31:45" ht="18" customHeight="1">
      <c r="AE18" s="53" t="s">
        <v>70</v>
      </c>
      <c r="AG18" s="55">
        <v>150</v>
      </c>
      <c r="AH18" s="55"/>
      <c r="AI18" s="72" t="s">
        <v>125</v>
      </c>
      <c r="AJ18" s="55">
        <v>14</v>
      </c>
      <c r="AK18" s="55"/>
      <c r="AL18" s="53" t="s">
        <v>71</v>
      </c>
      <c r="AM18" s="53" t="s">
        <v>113</v>
      </c>
      <c r="AN18" s="55">
        <v>150</v>
      </c>
      <c r="AO18" s="55"/>
      <c r="AP18" s="72" t="s">
        <v>125</v>
      </c>
      <c r="AQ18" s="55">
        <v>14</v>
      </c>
      <c r="AR18" s="55"/>
      <c r="AS18" s="53" t="s">
        <v>71</v>
      </c>
    </row>
    <row r="19" spans="33:83" ht="18" customHeight="1">
      <c r="AG19" s="73"/>
      <c r="AH19" s="73"/>
      <c r="AI19" s="72"/>
      <c r="AJ19" s="73"/>
      <c r="AK19" s="73"/>
      <c r="AN19" s="73"/>
      <c r="AO19" s="73"/>
      <c r="AP19" s="72"/>
      <c r="AQ19" s="73"/>
      <c r="AR19" s="73"/>
      <c r="CA19" s="73"/>
      <c r="CB19" s="72"/>
      <c r="CD19" s="73"/>
      <c r="CE19" s="72"/>
    </row>
    <row r="20" spans="4:38" ht="18" customHeight="1">
      <c r="D20" s="74" t="s">
        <v>126</v>
      </c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6"/>
      <c r="AC20" s="74" t="s">
        <v>127</v>
      </c>
      <c r="AD20" s="31"/>
      <c r="AE20" s="31"/>
      <c r="AF20" s="32"/>
      <c r="AG20" s="77" t="s">
        <v>128</v>
      </c>
      <c r="AH20" s="75"/>
      <c r="AI20" s="75"/>
      <c r="AJ20" s="75"/>
      <c r="AK20" s="75"/>
      <c r="AL20" s="76"/>
    </row>
    <row r="21" spans="4:48" ht="18" customHeight="1">
      <c r="D21" s="78" t="s">
        <v>129</v>
      </c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80"/>
      <c r="AC21" s="81" t="s">
        <v>101</v>
      </c>
      <c r="AD21" s="81"/>
      <c r="AE21" s="81"/>
      <c r="AF21" s="81"/>
      <c r="AG21" s="82">
        <v>200000</v>
      </c>
      <c r="AH21" s="83"/>
      <c r="AI21" s="83"/>
      <c r="AJ21" s="83"/>
      <c r="AK21" s="83"/>
      <c r="AL21" s="84"/>
      <c r="AV21" s="61"/>
    </row>
    <row r="22" spans="4:48" ht="18" customHeight="1">
      <c r="D22" s="78" t="s">
        <v>52</v>
      </c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80"/>
      <c r="AC22" s="85" t="s">
        <v>130</v>
      </c>
      <c r="AD22" s="81"/>
      <c r="AE22" s="81"/>
      <c r="AF22" s="86"/>
      <c r="AG22" s="87">
        <v>4978.602</v>
      </c>
      <c r="AH22" s="88"/>
      <c r="AI22" s="88"/>
      <c r="AJ22" s="88"/>
      <c r="AK22" s="88"/>
      <c r="AL22" s="89"/>
      <c r="AV22" s="61"/>
    </row>
    <row r="23" spans="4:48" ht="18" customHeight="1">
      <c r="D23" s="78" t="s">
        <v>102</v>
      </c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80"/>
      <c r="AC23" s="85" t="s">
        <v>130</v>
      </c>
      <c r="AD23" s="81"/>
      <c r="AE23" s="81"/>
      <c r="AF23" s="86"/>
      <c r="AG23" s="87">
        <v>2979.459</v>
      </c>
      <c r="AH23" s="88"/>
      <c r="AI23" s="88"/>
      <c r="AJ23" s="88"/>
      <c r="AK23" s="88"/>
      <c r="AL23" s="89"/>
      <c r="AV23" s="61"/>
    </row>
    <row r="24" spans="4:48" ht="18" customHeight="1">
      <c r="D24" s="78" t="s">
        <v>53</v>
      </c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80"/>
      <c r="AC24" s="85" t="s">
        <v>131</v>
      </c>
      <c r="AD24" s="81"/>
      <c r="AE24" s="81"/>
      <c r="AF24" s="86"/>
      <c r="AG24" s="87">
        <v>197.858</v>
      </c>
      <c r="AH24" s="88"/>
      <c r="AI24" s="88"/>
      <c r="AJ24" s="88"/>
      <c r="AK24" s="88"/>
      <c r="AL24" s="89"/>
      <c r="AV24" s="61"/>
    </row>
    <row r="25" spans="4:48" ht="18" customHeight="1">
      <c r="D25" s="78" t="s">
        <v>103</v>
      </c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80"/>
      <c r="AC25" s="85" t="s">
        <v>131</v>
      </c>
      <c r="AD25" s="81"/>
      <c r="AE25" s="81"/>
      <c r="AF25" s="86"/>
      <c r="AG25" s="87">
        <v>310.672</v>
      </c>
      <c r="AH25" s="88"/>
      <c r="AI25" s="88"/>
      <c r="AJ25" s="88"/>
      <c r="AK25" s="88"/>
      <c r="AL25" s="89"/>
      <c r="AV25" s="61"/>
    </row>
    <row r="26" spans="4:48" ht="18" customHeight="1">
      <c r="D26" s="78" t="s">
        <v>54</v>
      </c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80"/>
      <c r="AC26" s="85" t="s">
        <v>130</v>
      </c>
      <c r="AD26" s="81"/>
      <c r="AE26" s="81"/>
      <c r="AF26" s="86"/>
      <c r="AG26" s="87">
        <v>-265.832</v>
      </c>
      <c r="AH26" s="88"/>
      <c r="AI26" s="88"/>
      <c r="AJ26" s="88"/>
      <c r="AK26" s="88"/>
      <c r="AL26" s="89"/>
      <c r="AV26" s="61"/>
    </row>
    <row r="27" spans="4:48" ht="18" customHeight="1">
      <c r="D27" s="78" t="s">
        <v>104</v>
      </c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80"/>
      <c r="AC27" s="85" t="s">
        <v>130</v>
      </c>
      <c r="AD27" s="81"/>
      <c r="AE27" s="81"/>
      <c r="AF27" s="86"/>
      <c r="AG27" s="87">
        <v>-322.626</v>
      </c>
      <c r="AH27" s="88"/>
      <c r="AI27" s="88"/>
      <c r="AJ27" s="88"/>
      <c r="AK27" s="88"/>
      <c r="AL27" s="89"/>
      <c r="AV27" s="61"/>
    </row>
    <row r="29" ht="18" customHeight="1">
      <c r="D29" s="53" t="s">
        <v>132</v>
      </c>
    </row>
    <row r="30" spans="3:41" ht="18" customHeight="1">
      <c r="C30" s="74" t="s">
        <v>133</v>
      </c>
      <c r="D30" s="75"/>
      <c r="E30" s="75"/>
      <c r="F30" s="75"/>
      <c r="G30" s="75"/>
      <c r="H30" s="75"/>
      <c r="I30" s="75"/>
      <c r="J30" s="76"/>
      <c r="K30" s="77" t="s">
        <v>134</v>
      </c>
      <c r="L30" s="75"/>
      <c r="M30" s="76"/>
      <c r="N30" s="77" t="s">
        <v>135</v>
      </c>
      <c r="O30" s="75"/>
      <c r="P30" s="76"/>
      <c r="Q30" s="77" t="s">
        <v>136</v>
      </c>
      <c r="R30" s="75"/>
      <c r="S30" s="75"/>
      <c r="T30" s="76"/>
      <c r="U30" s="77" t="s">
        <v>137</v>
      </c>
      <c r="V30" s="75"/>
      <c r="W30" s="75"/>
      <c r="X30" s="76"/>
      <c r="Y30" s="77" t="s">
        <v>138</v>
      </c>
      <c r="Z30" s="75"/>
      <c r="AA30" s="75"/>
      <c r="AB30" s="75"/>
      <c r="AC30" s="76"/>
      <c r="AD30" s="77" t="s">
        <v>156</v>
      </c>
      <c r="AE30" s="75"/>
      <c r="AF30" s="75"/>
      <c r="AG30" s="75"/>
      <c r="AH30" s="75"/>
      <c r="AI30" s="76"/>
      <c r="AJ30" s="77" t="s">
        <v>157</v>
      </c>
      <c r="AK30" s="75"/>
      <c r="AL30" s="75"/>
      <c r="AM30" s="75"/>
      <c r="AN30" s="75"/>
      <c r="AO30" s="76"/>
    </row>
    <row r="31" spans="3:50" ht="18" customHeight="1">
      <c r="C31" s="90">
        <v>1</v>
      </c>
      <c r="D31" s="79" t="s">
        <v>72</v>
      </c>
      <c r="E31" s="79" t="s">
        <v>73</v>
      </c>
      <c r="F31" s="79"/>
      <c r="G31" s="79"/>
      <c r="H31" s="79"/>
      <c r="I31" s="79"/>
      <c r="J31" s="80"/>
      <c r="K31" s="91">
        <f>AG12*1000</f>
        <v>2640</v>
      </c>
      <c r="L31" s="92"/>
      <c r="M31" s="93"/>
      <c r="N31" s="91">
        <f>AG13*1000</f>
        <v>12</v>
      </c>
      <c r="O31" s="92"/>
      <c r="P31" s="93"/>
      <c r="Q31" s="94">
        <f aca="true" t="shared" si="0" ref="Q31:Q36">C31*K31*N31</f>
        <v>31680</v>
      </c>
      <c r="R31" s="95"/>
      <c r="S31" s="95"/>
      <c r="T31" s="96"/>
      <c r="U31" s="97">
        <f>-(N31+AG6*1000)/2</f>
        <v>-1306</v>
      </c>
      <c r="V31" s="98"/>
      <c r="W31" s="98"/>
      <c r="X31" s="99"/>
      <c r="Y31" s="94">
        <f aca="true" t="shared" si="1" ref="Y31:Y36">Q31*U31</f>
        <v>-41374080</v>
      </c>
      <c r="Z31" s="95"/>
      <c r="AA31" s="95"/>
      <c r="AB31" s="95"/>
      <c r="AC31" s="96"/>
      <c r="AD31" s="94">
        <f aca="true" t="shared" si="2" ref="AD31:AD36">U31*Y31</f>
        <v>54034548480</v>
      </c>
      <c r="AE31" s="95"/>
      <c r="AF31" s="95"/>
      <c r="AG31" s="95"/>
      <c r="AH31" s="95"/>
      <c r="AI31" s="96"/>
      <c r="AJ31" s="94">
        <f>C31*K31*POWER(N31,3)/12</f>
        <v>380160</v>
      </c>
      <c r="AK31" s="95"/>
      <c r="AL31" s="95"/>
      <c r="AM31" s="95"/>
      <c r="AN31" s="95"/>
      <c r="AO31" s="96"/>
      <c r="AS31" s="3"/>
      <c r="AT31" s="3"/>
      <c r="AU31" s="3"/>
      <c r="AV31" s="100"/>
      <c r="AW31" s="3"/>
      <c r="AX31" s="3"/>
    </row>
    <row r="32" spans="3:50" ht="18" customHeight="1">
      <c r="C32" s="101">
        <v>5</v>
      </c>
      <c r="D32" s="79" t="s">
        <v>72</v>
      </c>
      <c r="E32" s="79" t="s">
        <v>74</v>
      </c>
      <c r="F32" s="79"/>
      <c r="G32" s="79"/>
      <c r="H32" s="79"/>
      <c r="I32" s="79"/>
      <c r="J32" s="80"/>
      <c r="K32" s="91">
        <f>AJ18</f>
        <v>14</v>
      </c>
      <c r="L32" s="92"/>
      <c r="M32" s="93"/>
      <c r="N32" s="91">
        <f>AG18</f>
        <v>150</v>
      </c>
      <c r="O32" s="92"/>
      <c r="P32" s="93"/>
      <c r="Q32" s="94">
        <f t="shared" si="0"/>
        <v>10500</v>
      </c>
      <c r="R32" s="95"/>
      <c r="S32" s="95"/>
      <c r="T32" s="96"/>
      <c r="U32" s="97">
        <f>-(AG6*1000-N32)/2</f>
        <v>-1225</v>
      </c>
      <c r="V32" s="98"/>
      <c r="W32" s="98"/>
      <c r="X32" s="99"/>
      <c r="Y32" s="94">
        <f t="shared" si="1"/>
        <v>-12862500</v>
      </c>
      <c r="Z32" s="95"/>
      <c r="AA32" s="95"/>
      <c r="AB32" s="95"/>
      <c r="AC32" s="96"/>
      <c r="AD32" s="94">
        <f t="shared" si="2"/>
        <v>15756562500</v>
      </c>
      <c r="AE32" s="95"/>
      <c r="AF32" s="95"/>
      <c r="AG32" s="95"/>
      <c r="AH32" s="95"/>
      <c r="AI32" s="96"/>
      <c r="AJ32" s="94">
        <f>C32*K32*POWER(N32,3)/12</f>
        <v>19687500</v>
      </c>
      <c r="AK32" s="95"/>
      <c r="AL32" s="95"/>
      <c r="AM32" s="95"/>
      <c r="AN32" s="95"/>
      <c r="AO32" s="96"/>
      <c r="AS32" s="3"/>
      <c r="AT32" s="3"/>
      <c r="AU32" s="3"/>
      <c r="AV32" s="3"/>
      <c r="AW32" s="3"/>
      <c r="AX32" s="3"/>
    </row>
    <row r="33" spans="3:50" ht="18" customHeight="1">
      <c r="C33" s="102">
        <v>1</v>
      </c>
      <c r="D33" s="103" t="s">
        <v>72</v>
      </c>
      <c r="E33" s="103" t="s">
        <v>139</v>
      </c>
      <c r="F33" s="103"/>
      <c r="G33" s="103"/>
      <c r="H33" s="103"/>
      <c r="I33" s="103"/>
      <c r="J33" s="104"/>
      <c r="K33" s="97">
        <f>AG15*1000</f>
        <v>10</v>
      </c>
      <c r="L33" s="81"/>
      <c r="M33" s="86"/>
      <c r="N33" s="97">
        <f>AG6/COS(RADIANS(F13))*1000</f>
        <v>2604.3233286210834</v>
      </c>
      <c r="O33" s="81"/>
      <c r="P33" s="86"/>
      <c r="Q33" s="105">
        <f t="shared" si="0"/>
        <v>26043.233286210834</v>
      </c>
      <c r="R33" s="106"/>
      <c r="S33" s="106"/>
      <c r="T33" s="107"/>
      <c r="U33" s="97">
        <v>0</v>
      </c>
      <c r="V33" s="98"/>
      <c r="W33" s="98"/>
      <c r="X33" s="99"/>
      <c r="Y33" s="108">
        <f t="shared" si="1"/>
        <v>0</v>
      </c>
      <c r="Z33" s="109"/>
      <c r="AA33" s="109"/>
      <c r="AB33" s="109"/>
      <c r="AC33" s="110"/>
      <c r="AD33" s="108">
        <f t="shared" si="2"/>
        <v>0</v>
      </c>
      <c r="AE33" s="109"/>
      <c r="AF33" s="109"/>
      <c r="AG33" s="109"/>
      <c r="AH33" s="109"/>
      <c r="AI33" s="110"/>
      <c r="AJ33" s="108">
        <f>C34*K34*N34/12*((N34*COS(RADIANS(F13)))^2+(K34*SIN(RADIANS(F13)))^2)</f>
        <v>14671022137.85546</v>
      </c>
      <c r="AK33" s="109"/>
      <c r="AL33" s="109"/>
      <c r="AM33" s="109"/>
      <c r="AN33" s="109"/>
      <c r="AO33" s="110"/>
      <c r="AS33" s="3"/>
      <c r="AT33" s="3"/>
      <c r="AU33" s="3"/>
      <c r="AV33" s="3"/>
      <c r="AW33" s="3"/>
      <c r="AX33" s="3"/>
    </row>
    <row r="34" spans="3:50" ht="18" customHeight="1">
      <c r="C34" s="102">
        <v>1</v>
      </c>
      <c r="D34" s="103" t="s">
        <v>72</v>
      </c>
      <c r="E34" s="103" t="s">
        <v>140</v>
      </c>
      <c r="F34" s="103"/>
      <c r="G34" s="103"/>
      <c r="H34" s="103"/>
      <c r="I34" s="103"/>
      <c r="J34" s="104"/>
      <c r="K34" s="97">
        <f>AG15*1000</f>
        <v>10</v>
      </c>
      <c r="L34" s="81"/>
      <c r="M34" s="86"/>
      <c r="N34" s="97">
        <f>AG6/COS(RADIANS(X13))*1000</f>
        <v>2604.3233286210834</v>
      </c>
      <c r="O34" s="81"/>
      <c r="P34" s="86"/>
      <c r="Q34" s="105">
        <f t="shared" si="0"/>
        <v>26043.233286210834</v>
      </c>
      <c r="R34" s="106"/>
      <c r="S34" s="106"/>
      <c r="T34" s="107"/>
      <c r="U34" s="97">
        <v>0</v>
      </c>
      <c r="V34" s="98"/>
      <c r="W34" s="98"/>
      <c r="X34" s="99"/>
      <c r="Y34" s="108">
        <f t="shared" si="1"/>
        <v>0</v>
      </c>
      <c r="Z34" s="109"/>
      <c r="AA34" s="109"/>
      <c r="AB34" s="109"/>
      <c r="AC34" s="110"/>
      <c r="AD34" s="108">
        <f t="shared" si="2"/>
        <v>0</v>
      </c>
      <c r="AE34" s="109"/>
      <c r="AF34" s="109"/>
      <c r="AG34" s="109"/>
      <c r="AH34" s="109"/>
      <c r="AI34" s="110"/>
      <c r="AJ34" s="108">
        <f>C34*K34*N34/12*((N34*COS(RADIANS(X13)))^2+(K34*SIN(RADIANS(X13)))^2)</f>
        <v>14671022137.85546</v>
      </c>
      <c r="AK34" s="109"/>
      <c r="AL34" s="109"/>
      <c r="AM34" s="109"/>
      <c r="AN34" s="109"/>
      <c r="AO34" s="110"/>
      <c r="AS34" s="3"/>
      <c r="AT34" s="3"/>
      <c r="AU34" s="3"/>
      <c r="AV34" s="3"/>
      <c r="AW34" s="3"/>
      <c r="AX34" s="3"/>
    </row>
    <row r="35" spans="3:41" ht="18" customHeight="1">
      <c r="C35" s="101">
        <v>2</v>
      </c>
      <c r="D35" s="79" t="s">
        <v>72</v>
      </c>
      <c r="E35" s="79" t="s">
        <v>75</v>
      </c>
      <c r="F35" s="79"/>
      <c r="G35" s="79"/>
      <c r="H35" s="79"/>
      <c r="I35" s="79"/>
      <c r="J35" s="80"/>
      <c r="K35" s="91">
        <f>AQ18</f>
        <v>14</v>
      </c>
      <c r="L35" s="92"/>
      <c r="M35" s="93"/>
      <c r="N35" s="91">
        <f>AN18</f>
        <v>150</v>
      </c>
      <c r="O35" s="92"/>
      <c r="P35" s="93"/>
      <c r="Q35" s="94">
        <f t="shared" si="0"/>
        <v>4200</v>
      </c>
      <c r="R35" s="95"/>
      <c r="S35" s="95"/>
      <c r="T35" s="96"/>
      <c r="U35" s="97">
        <f>(AG6*1000-N35)/2</f>
        <v>1225</v>
      </c>
      <c r="V35" s="98"/>
      <c r="W35" s="98"/>
      <c r="X35" s="99"/>
      <c r="Y35" s="94">
        <f t="shared" si="1"/>
        <v>5145000</v>
      </c>
      <c r="Z35" s="95"/>
      <c r="AA35" s="95"/>
      <c r="AB35" s="95"/>
      <c r="AC35" s="96"/>
      <c r="AD35" s="94">
        <f t="shared" si="2"/>
        <v>6302625000</v>
      </c>
      <c r="AE35" s="95"/>
      <c r="AF35" s="95"/>
      <c r="AG35" s="95"/>
      <c r="AH35" s="95"/>
      <c r="AI35" s="96"/>
      <c r="AJ35" s="94">
        <f>C35*K35*POWER(N35,3)/12</f>
        <v>7875000</v>
      </c>
      <c r="AK35" s="95"/>
      <c r="AL35" s="95"/>
      <c r="AM35" s="95"/>
      <c r="AN35" s="95"/>
      <c r="AO35" s="96"/>
    </row>
    <row r="36" spans="3:41" ht="18" customHeight="1">
      <c r="C36" s="90">
        <v>1</v>
      </c>
      <c r="D36" s="79" t="s">
        <v>72</v>
      </c>
      <c r="E36" s="79" t="s">
        <v>76</v>
      </c>
      <c r="F36" s="79"/>
      <c r="G36" s="79"/>
      <c r="H36" s="79"/>
      <c r="I36" s="79"/>
      <c r="J36" s="80"/>
      <c r="K36" s="91">
        <f>AM12*1000</f>
        <v>2340</v>
      </c>
      <c r="L36" s="92"/>
      <c r="M36" s="93"/>
      <c r="N36" s="91">
        <f>AG14*1000</f>
        <v>12</v>
      </c>
      <c r="O36" s="92"/>
      <c r="P36" s="93"/>
      <c r="Q36" s="94">
        <f t="shared" si="0"/>
        <v>28080</v>
      </c>
      <c r="R36" s="95"/>
      <c r="S36" s="95"/>
      <c r="T36" s="96"/>
      <c r="U36" s="97">
        <f>(N36+AG6*1000)/2</f>
        <v>1306</v>
      </c>
      <c r="V36" s="98"/>
      <c r="W36" s="98"/>
      <c r="X36" s="99"/>
      <c r="Y36" s="94">
        <f t="shared" si="1"/>
        <v>36672480</v>
      </c>
      <c r="Z36" s="95"/>
      <c r="AA36" s="95"/>
      <c r="AB36" s="95"/>
      <c r="AC36" s="96"/>
      <c r="AD36" s="94">
        <f t="shared" si="2"/>
        <v>47894258880</v>
      </c>
      <c r="AE36" s="95"/>
      <c r="AF36" s="95"/>
      <c r="AG36" s="95"/>
      <c r="AH36" s="95"/>
      <c r="AI36" s="96"/>
      <c r="AJ36" s="94">
        <f>C36*K36*POWER(N36,3)/12</f>
        <v>336960</v>
      </c>
      <c r="AK36" s="95"/>
      <c r="AL36" s="95"/>
      <c r="AM36" s="95"/>
      <c r="AN36" s="95"/>
      <c r="AO36" s="96"/>
    </row>
    <row r="37" spans="3:41" ht="18" customHeight="1">
      <c r="C37" s="111" t="s">
        <v>141</v>
      </c>
      <c r="D37" s="92"/>
      <c r="E37" s="92"/>
      <c r="F37" s="92"/>
      <c r="G37" s="92"/>
      <c r="H37" s="92"/>
      <c r="I37" s="92"/>
      <c r="J37" s="93"/>
      <c r="K37" s="78"/>
      <c r="L37" s="79"/>
      <c r="M37" s="80"/>
      <c r="N37" s="78"/>
      <c r="O37" s="79"/>
      <c r="P37" s="80"/>
      <c r="Q37" s="112">
        <f>SUM(Q31:Q36)</f>
        <v>126546.46657242166</v>
      </c>
      <c r="R37" s="113"/>
      <c r="S37" s="113"/>
      <c r="T37" s="114"/>
      <c r="U37" s="115"/>
      <c r="V37" s="116"/>
      <c r="W37" s="116"/>
      <c r="X37" s="117"/>
      <c r="Y37" s="94">
        <f>SUM(Y31:Y36)</f>
        <v>-12419100</v>
      </c>
      <c r="Z37" s="95"/>
      <c r="AA37" s="95"/>
      <c r="AB37" s="95"/>
      <c r="AC37" s="96"/>
      <c r="AD37" s="94">
        <f>SUM(AD31:AD36)</f>
        <v>123987994860</v>
      </c>
      <c r="AE37" s="95"/>
      <c r="AF37" s="95"/>
      <c r="AG37" s="95"/>
      <c r="AH37" s="95"/>
      <c r="AI37" s="96"/>
      <c r="AJ37" s="94">
        <f>SUM(AJ31:AJ36)</f>
        <v>29370323895.71092</v>
      </c>
      <c r="AK37" s="95"/>
      <c r="AL37" s="95"/>
      <c r="AM37" s="95"/>
      <c r="AN37" s="95"/>
      <c r="AO37" s="96"/>
    </row>
    <row r="38" spans="7:20" ht="18" customHeight="1">
      <c r="G38" s="118"/>
      <c r="H38" s="118"/>
      <c r="I38" s="118"/>
      <c r="J38" s="118"/>
      <c r="K38" s="3"/>
      <c r="P38" s="119"/>
      <c r="Q38" s="119"/>
      <c r="R38" s="119"/>
      <c r="S38" s="119"/>
      <c r="T38" s="3"/>
    </row>
    <row r="39" spans="7:20" ht="18" customHeight="1">
      <c r="G39" s="118"/>
      <c r="H39" s="118"/>
      <c r="I39" s="118"/>
      <c r="J39" s="118"/>
      <c r="K39" s="3"/>
      <c r="P39" s="119"/>
      <c r="Q39" s="119"/>
      <c r="R39" s="119"/>
      <c r="S39" s="119"/>
      <c r="T39" s="3"/>
    </row>
    <row r="40" ht="18" customHeight="1">
      <c r="A40" s="120" t="s">
        <v>143</v>
      </c>
    </row>
    <row r="51" ht="18" customHeight="1">
      <c r="B51" s="53" t="s">
        <v>144</v>
      </c>
    </row>
    <row r="52" spans="3:32" ht="18" customHeight="1">
      <c r="C52" s="53" t="s">
        <v>77</v>
      </c>
      <c r="L52" s="121">
        <f>AD37</f>
        <v>123987994860</v>
      </c>
      <c r="M52" s="121"/>
      <c r="N52" s="121"/>
      <c r="O52" s="121"/>
      <c r="P52" s="121"/>
      <c r="Q52" s="53" t="s">
        <v>78</v>
      </c>
      <c r="R52" s="122">
        <f>AJ37</f>
        <v>29370323895.71092</v>
      </c>
      <c r="S52" s="122"/>
      <c r="T52" s="122"/>
      <c r="U52" s="122"/>
      <c r="V52" s="122"/>
      <c r="W52" s="122"/>
      <c r="X52" s="122"/>
      <c r="Y52" s="53" t="s">
        <v>79</v>
      </c>
      <c r="Z52" s="121">
        <f>L52+R52</f>
        <v>153358318755.7109</v>
      </c>
      <c r="AA52" s="121"/>
      <c r="AB52" s="121"/>
      <c r="AC52" s="121"/>
      <c r="AD52" s="121"/>
      <c r="AE52" s="121"/>
      <c r="AF52" s="1" t="s">
        <v>158</v>
      </c>
    </row>
    <row r="53" spans="3:30" ht="18" customHeight="1">
      <c r="C53" s="53" t="s">
        <v>80</v>
      </c>
      <c r="L53" s="121">
        <f>Y37</f>
        <v>-12419100</v>
      </c>
      <c r="M53" s="121"/>
      <c r="N53" s="121"/>
      <c r="O53" s="121"/>
      <c r="P53" s="121"/>
      <c r="Q53" s="53" t="s">
        <v>81</v>
      </c>
      <c r="R53" s="121">
        <f>Q37</f>
        <v>126546.46657242166</v>
      </c>
      <c r="S53" s="121"/>
      <c r="T53" s="121"/>
      <c r="U53" s="121"/>
      <c r="V53" s="121"/>
      <c r="W53" s="53" t="s">
        <v>79</v>
      </c>
      <c r="X53" s="123">
        <f>L53/R53</f>
        <v>-98.13865480702802</v>
      </c>
      <c r="Y53" s="123"/>
      <c r="Z53" s="123"/>
      <c r="AA53" s="123"/>
      <c r="AB53" s="123"/>
      <c r="AC53" s="123"/>
      <c r="AD53" s="2" t="s">
        <v>145</v>
      </c>
    </row>
    <row r="54" spans="2:43" ht="18" customHeight="1">
      <c r="B54" s="3"/>
      <c r="C54" s="3" t="s">
        <v>82</v>
      </c>
      <c r="D54" s="3"/>
      <c r="E54" s="3"/>
      <c r="F54" s="3"/>
      <c r="G54" s="3"/>
      <c r="H54" s="3"/>
      <c r="I54" s="3"/>
      <c r="J54" s="3"/>
      <c r="K54" s="3"/>
      <c r="L54" s="124">
        <f>Z52</f>
        <v>153358318755.7109</v>
      </c>
      <c r="M54" s="124"/>
      <c r="N54" s="124"/>
      <c r="O54" s="124"/>
      <c r="P54" s="124"/>
      <c r="Q54" s="3" t="s">
        <v>72</v>
      </c>
      <c r="R54" s="124">
        <f>Q37</f>
        <v>126546.46657242166</v>
      </c>
      <c r="S54" s="124"/>
      <c r="T54" s="124"/>
      <c r="U54" s="124"/>
      <c r="V54" s="124"/>
      <c r="W54" s="3" t="s">
        <v>83</v>
      </c>
      <c r="X54" s="125">
        <f>X53</f>
        <v>-98.13865480702802</v>
      </c>
      <c r="Y54" s="33"/>
      <c r="Z54" s="33"/>
      <c r="AA54" s="33"/>
      <c r="AB54" s="33"/>
      <c r="AC54" s="3" t="s">
        <v>79</v>
      </c>
      <c r="AD54" s="124">
        <f>L54-R54*X54^2</f>
        <v>152139524987.79694</v>
      </c>
      <c r="AE54" s="124"/>
      <c r="AF54" s="124"/>
      <c r="AG54" s="124"/>
      <c r="AH54" s="124"/>
      <c r="AI54" s="124"/>
      <c r="AJ54" s="1" t="s">
        <v>158</v>
      </c>
      <c r="AK54" s="3"/>
      <c r="AL54" s="3"/>
      <c r="AM54" s="3"/>
      <c r="AN54" s="3"/>
      <c r="AO54" s="3"/>
      <c r="AP54" s="3"/>
      <c r="AQ54" s="3"/>
    </row>
    <row r="55" spans="2:43" ht="18" customHeight="1">
      <c r="B55" s="3"/>
      <c r="C55" s="3" t="s">
        <v>146</v>
      </c>
      <c r="D55" s="3"/>
      <c r="E55" s="3"/>
      <c r="F55" s="3"/>
      <c r="G55" s="3"/>
      <c r="H55" s="3"/>
      <c r="I55" s="3"/>
      <c r="J55" s="3"/>
      <c r="K55" s="3"/>
      <c r="L55" s="3"/>
      <c r="M55" s="126">
        <f>-AG6*1000</f>
        <v>-2600</v>
      </c>
      <c r="N55" s="33"/>
      <c r="O55" s="33"/>
      <c r="P55" s="33"/>
      <c r="Q55" s="3" t="s">
        <v>84</v>
      </c>
      <c r="R55" s="3"/>
      <c r="S55" s="3"/>
      <c r="T55" s="3" t="s">
        <v>147</v>
      </c>
      <c r="U55" s="126">
        <f>N31</f>
        <v>12</v>
      </c>
      <c r="V55" s="33"/>
      <c r="W55" s="3" t="s">
        <v>72</v>
      </c>
      <c r="X55" s="33">
        <f>X54</f>
        <v>-98.13865480702802</v>
      </c>
      <c r="Y55" s="33"/>
      <c r="Z55" s="33"/>
      <c r="AA55" s="33"/>
      <c r="AB55" s="33"/>
      <c r="AC55" s="3" t="s">
        <v>79</v>
      </c>
      <c r="AD55" s="33">
        <f>M55/2-U55-X55</f>
        <v>-1213.861345192972</v>
      </c>
      <c r="AE55" s="33"/>
      <c r="AF55" s="33"/>
      <c r="AG55" s="33"/>
      <c r="AH55" s="33"/>
      <c r="AI55" s="33"/>
      <c r="AJ55" s="2" t="s">
        <v>145</v>
      </c>
      <c r="AK55" s="3"/>
      <c r="AL55" s="3"/>
      <c r="AM55" s="3"/>
      <c r="AN55" s="3"/>
      <c r="AO55" s="3"/>
      <c r="AP55" s="3"/>
      <c r="AQ55" s="3"/>
    </row>
    <row r="56" spans="1:43" ht="18" customHeight="1">
      <c r="A56" s="3"/>
      <c r="B56" s="3"/>
      <c r="C56" s="3" t="s">
        <v>148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3">
        <f>AD55</f>
        <v>-1213.861345192972</v>
      </c>
      <c r="Q56" s="33"/>
      <c r="R56" s="33"/>
      <c r="S56" s="33"/>
      <c r="T56" s="33"/>
      <c r="U56" s="3" t="s">
        <v>149</v>
      </c>
      <c r="V56" s="33">
        <f>(AG6+AG13+AG14)*1000</f>
        <v>2624</v>
      </c>
      <c r="W56" s="33"/>
      <c r="X56" s="33"/>
      <c r="Y56" s="33"/>
      <c r="Z56" s="3" t="s">
        <v>79</v>
      </c>
      <c r="AA56" s="33">
        <f>P56+V56</f>
        <v>1410.138654807028</v>
      </c>
      <c r="AB56" s="33"/>
      <c r="AC56" s="33"/>
      <c r="AD56" s="33"/>
      <c r="AE56" s="33"/>
      <c r="AF56" s="2" t="s">
        <v>145</v>
      </c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</row>
    <row r="57" spans="1:45" ht="18" customHeight="1">
      <c r="A57" s="3"/>
      <c r="B57" s="3"/>
      <c r="C57" s="3" t="s">
        <v>150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 t="s">
        <v>151</v>
      </c>
      <c r="AB57" s="126">
        <f>((AG7+AM7+AG8)/2+AG15)*(AG6+AG13/2+AG14/2)*1000000</f>
        <v>5903119.999999998</v>
      </c>
      <c r="AC57" s="126"/>
      <c r="AD57" s="126"/>
      <c r="AE57" s="126"/>
      <c r="AF57" s="126"/>
      <c r="AG57" s="3" t="s">
        <v>142</v>
      </c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</row>
    <row r="58" spans="1:45" ht="18" customHeight="1">
      <c r="A58" s="3"/>
      <c r="B58" s="3"/>
      <c r="C58" s="3" t="s">
        <v>55</v>
      </c>
      <c r="D58" s="3"/>
      <c r="E58" s="3"/>
      <c r="F58" s="3"/>
      <c r="G58" s="3"/>
      <c r="H58" s="3"/>
      <c r="I58" s="3"/>
      <c r="J58" s="3"/>
      <c r="K58" s="3"/>
      <c r="L58" s="3"/>
      <c r="M58" s="33">
        <f>AG22*1000000*P56/AD54</f>
        <v>-39.72230438727316</v>
      </c>
      <c r="N58" s="33"/>
      <c r="O58" s="33"/>
      <c r="P58" s="33"/>
      <c r="Q58" s="33"/>
      <c r="R58" s="3" t="s">
        <v>101</v>
      </c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</row>
    <row r="59" spans="1:45" ht="18" customHeight="1">
      <c r="A59" s="3"/>
      <c r="B59" s="3"/>
      <c r="C59" s="3" t="s">
        <v>56</v>
      </c>
      <c r="D59" s="3"/>
      <c r="E59" s="3"/>
      <c r="F59" s="3"/>
      <c r="G59" s="3"/>
      <c r="H59" s="3"/>
      <c r="I59" s="3"/>
      <c r="J59" s="3"/>
      <c r="K59" s="3"/>
      <c r="L59" s="3"/>
      <c r="M59" s="33">
        <f>AG22*1000000*AA56/AD54</f>
        <v>46.145267823484346</v>
      </c>
      <c r="N59" s="33"/>
      <c r="O59" s="33"/>
      <c r="P59" s="33"/>
      <c r="Q59" s="33"/>
      <c r="R59" s="3" t="s">
        <v>101</v>
      </c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</row>
    <row r="60" spans="1:45" ht="18" customHeight="1">
      <c r="A60" s="3"/>
      <c r="B60" s="3"/>
      <c r="C60" s="3" t="s">
        <v>57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3">
        <f>ABS(AG24)*1000/(Q33+Q34)+ABS(AG26)*1000000/(2*AB57*AG15*1000)</f>
        <v>6.0502679510032</v>
      </c>
      <c r="T60" s="33"/>
      <c r="U60" s="33"/>
      <c r="V60" s="33"/>
      <c r="W60" s="33"/>
      <c r="X60" s="3" t="s">
        <v>101</v>
      </c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</row>
    <row r="61" spans="1:45" ht="18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</row>
    <row r="62" spans="1:45" ht="18" customHeight="1">
      <c r="A62" s="3"/>
      <c r="B62" s="3" t="s">
        <v>58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</row>
    <row r="63" spans="1:46" ht="18" customHeight="1">
      <c r="A63" s="3"/>
      <c r="B63" s="3"/>
      <c r="C63" s="3" t="s">
        <v>105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3">
        <f>AG23*1000000/AD54*AD55</f>
        <v>-23.77192981230484</v>
      </c>
      <c r="O63" s="33"/>
      <c r="P63" s="33"/>
      <c r="Q63" s="33"/>
      <c r="R63" s="33"/>
      <c r="S63" s="3" t="s">
        <v>101</v>
      </c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61"/>
    </row>
    <row r="64" spans="1:45" ht="18" customHeight="1">
      <c r="A64" s="3"/>
      <c r="B64" s="3"/>
      <c r="C64" s="3" t="s">
        <v>106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33">
        <f>AG23*1000000/AD54*AA56</f>
        <v>27.615771159070526</v>
      </c>
      <c r="O64" s="33"/>
      <c r="P64" s="33"/>
      <c r="Q64" s="33"/>
      <c r="R64" s="33"/>
      <c r="S64" s="3" t="s">
        <v>101</v>
      </c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</row>
    <row r="65" spans="1:45" ht="18" customHeight="1">
      <c r="A65" s="3"/>
      <c r="B65" s="3"/>
      <c r="C65" s="3" t="s">
        <v>107</v>
      </c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3">
        <f>ABS(AG25)*1000/(Q33+Q34)+ABS(AG27)*100000/(2*AB57*AG15*100)</f>
        <v>8.697217153082047</v>
      </c>
      <c r="T65" s="33"/>
      <c r="U65" s="33"/>
      <c r="V65" s="33"/>
      <c r="W65" s="33"/>
      <c r="X65" s="3" t="s">
        <v>101</v>
      </c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</row>
    <row r="66" spans="1:45" ht="18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</row>
    <row r="67" spans="1:54" ht="18" customHeight="1">
      <c r="A67" s="3"/>
      <c r="B67" s="3" t="s">
        <v>59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U67" s="4" t="s">
        <v>159</v>
      </c>
      <c r="AV67" s="4"/>
      <c r="AW67" s="4"/>
      <c r="AX67" s="4"/>
      <c r="AY67" s="4"/>
      <c r="AZ67" s="4"/>
      <c r="BA67" s="4"/>
      <c r="BB67" s="4"/>
    </row>
    <row r="68" spans="1:88" ht="18" customHeight="1">
      <c r="A68" s="3"/>
      <c r="B68" s="3"/>
      <c r="C68" s="3" t="s">
        <v>108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3">
        <f>ABS((AG24+AG25)*1000/(Q33+Q34))+ABS((AG26+AG27)/(2*AB57*AG15*1000))*1000000</f>
        <v>14.747485104085248</v>
      </c>
      <c r="AA68" s="33"/>
      <c r="AB68" s="33"/>
      <c r="AC68" s="33"/>
      <c r="AD68" s="3" t="s">
        <v>101</v>
      </c>
      <c r="AE68" s="3"/>
      <c r="AF68" s="3" t="s">
        <v>86</v>
      </c>
      <c r="AG68" s="3" t="s">
        <v>87</v>
      </c>
      <c r="AH68" s="3"/>
      <c r="AI68" s="3"/>
      <c r="AJ68" s="127">
        <f>HLOOKUP(AG4,AX68:CJ71,AU68,FALSE)</f>
        <v>120</v>
      </c>
      <c r="AK68" s="33"/>
      <c r="AL68" s="33"/>
      <c r="AM68" s="3" t="s">
        <v>101</v>
      </c>
      <c r="AN68" s="3"/>
      <c r="AO68" s="3"/>
      <c r="AP68" s="3" t="str">
        <f>IF(Z68&lt;AJ68,"O.K.","N.G.")</f>
        <v>O.K.</v>
      </c>
      <c r="AQ68" s="3"/>
      <c r="AR68" s="3"/>
      <c r="AS68" s="3"/>
      <c r="AU68" s="128">
        <f>IF(AG15&lt;=0.04,2,IF(AG15&lt;=0.075,3,4))</f>
        <v>2</v>
      </c>
      <c r="AV68" s="129"/>
      <c r="AW68" s="130"/>
      <c r="AX68" s="25" t="s">
        <v>4</v>
      </c>
      <c r="AY68" s="26"/>
      <c r="AZ68" s="27"/>
      <c r="BA68" s="25" t="s">
        <v>5</v>
      </c>
      <c r="BB68" s="26"/>
      <c r="BC68" s="27"/>
      <c r="BD68" s="25" t="s">
        <v>6</v>
      </c>
      <c r="BE68" s="26"/>
      <c r="BF68" s="27"/>
      <c r="BG68" s="25" t="s">
        <v>7</v>
      </c>
      <c r="BH68" s="26"/>
      <c r="BI68" s="27"/>
      <c r="BJ68" s="25" t="s">
        <v>88</v>
      </c>
      <c r="BK68" s="26"/>
      <c r="BL68" s="27"/>
      <c r="BM68" s="131" t="s">
        <v>8</v>
      </c>
      <c r="BN68" s="132"/>
      <c r="BO68" s="133"/>
      <c r="BP68" s="25" t="s">
        <v>9</v>
      </c>
      <c r="BQ68" s="26"/>
      <c r="BR68" s="27"/>
      <c r="BS68" s="25" t="s">
        <v>10</v>
      </c>
      <c r="BT68" s="26"/>
      <c r="BU68" s="27"/>
      <c r="BV68" s="25" t="s">
        <v>11</v>
      </c>
      <c r="BW68" s="26"/>
      <c r="BX68" s="27"/>
      <c r="BY68" s="131" t="s">
        <v>12</v>
      </c>
      <c r="BZ68" s="132"/>
      <c r="CA68" s="133"/>
      <c r="CB68" s="25" t="s">
        <v>13</v>
      </c>
      <c r="CC68" s="26"/>
      <c r="CD68" s="27"/>
      <c r="CE68" s="25" t="s">
        <v>14</v>
      </c>
      <c r="CF68" s="26"/>
      <c r="CG68" s="27"/>
      <c r="CH68" s="131" t="s">
        <v>15</v>
      </c>
      <c r="CI68" s="132"/>
      <c r="CJ68" s="133"/>
    </row>
    <row r="69" spans="1:88" ht="18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U69" s="19">
        <v>40</v>
      </c>
      <c r="AV69" s="20"/>
      <c r="AW69" s="21"/>
      <c r="AX69" s="19">
        <v>80</v>
      </c>
      <c r="AY69" s="20"/>
      <c r="AZ69" s="21"/>
      <c r="BA69" s="19">
        <f>AX69</f>
        <v>80</v>
      </c>
      <c r="BB69" s="20"/>
      <c r="BC69" s="21"/>
      <c r="BD69" s="19">
        <f>AX69</f>
        <v>80</v>
      </c>
      <c r="BE69" s="20"/>
      <c r="BF69" s="21"/>
      <c r="BG69" s="19">
        <v>80</v>
      </c>
      <c r="BH69" s="20"/>
      <c r="BI69" s="21"/>
      <c r="BJ69" s="19">
        <v>105</v>
      </c>
      <c r="BK69" s="20"/>
      <c r="BL69" s="21"/>
      <c r="BM69" s="19">
        <v>105</v>
      </c>
      <c r="BN69" s="20"/>
      <c r="BO69" s="21"/>
      <c r="BP69" s="19">
        <v>120</v>
      </c>
      <c r="BQ69" s="20"/>
      <c r="BR69" s="21"/>
      <c r="BS69" s="19">
        <f>BP69</f>
        <v>120</v>
      </c>
      <c r="BT69" s="20"/>
      <c r="BU69" s="21"/>
      <c r="BV69" s="19">
        <f>BP69</f>
        <v>120</v>
      </c>
      <c r="BW69" s="20"/>
      <c r="BX69" s="21"/>
      <c r="BY69" s="19">
        <v>120</v>
      </c>
      <c r="BZ69" s="20"/>
      <c r="CA69" s="21"/>
      <c r="CB69" s="19">
        <v>145</v>
      </c>
      <c r="CC69" s="20"/>
      <c r="CD69" s="21"/>
      <c r="CE69" s="19">
        <f>CB69</f>
        <v>145</v>
      </c>
      <c r="CF69" s="20"/>
      <c r="CG69" s="21"/>
      <c r="CH69" s="19">
        <v>145</v>
      </c>
      <c r="CI69" s="20"/>
      <c r="CJ69" s="21"/>
    </row>
    <row r="70" spans="1:88" ht="18" customHeight="1">
      <c r="A70" s="3"/>
      <c r="B70" s="3" t="s">
        <v>60</v>
      </c>
      <c r="C70" s="3"/>
      <c r="D70" s="3"/>
      <c r="E70" s="3"/>
      <c r="F70" s="3"/>
      <c r="G70" s="3"/>
      <c r="H70" s="3"/>
      <c r="I70" s="3"/>
      <c r="J70" s="3"/>
      <c r="K70" s="134"/>
      <c r="L70" s="3"/>
      <c r="M70" s="3"/>
      <c r="N70" s="3"/>
      <c r="O70" s="3"/>
      <c r="P70" s="3"/>
      <c r="Q70" s="3"/>
      <c r="R70" s="3"/>
      <c r="S70" s="3"/>
      <c r="T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U70" s="135" t="s">
        <v>16</v>
      </c>
      <c r="AV70" s="136"/>
      <c r="AW70" s="137"/>
      <c r="AX70" s="19">
        <v>75</v>
      </c>
      <c r="AY70" s="20"/>
      <c r="AZ70" s="21"/>
      <c r="BA70" s="19">
        <f>AX70</f>
        <v>75</v>
      </c>
      <c r="BB70" s="20"/>
      <c r="BC70" s="21"/>
      <c r="BD70" s="19">
        <f>AX70</f>
        <v>75</v>
      </c>
      <c r="BE70" s="20"/>
      <c r="BF70" s="21"/>
      <c r="BG70" s="19">
        <v>80</v>
      </c>
      <c r="BH70" s="20"/>
      <c r="BI70" s="21"/>
      <c r="BJ70" s="19">
        <v>100</v>
      </c>
      <c r="BK70" s="20"/>
      <c r="BL70" s="21"/>
      <c r="BM70" s="19">
        <v>105</v>
      </c>
      <c r="BN70" s="20"/>
      <c r="BO70" s="21"/>
      <c r="BP70" s="19">
        <v>115</v>
      </c>
      <c r="BQ70" s="20"/>
      <c r="BR70" s="21"/>
      <c r="BS70" s="19">
        <f>BP70</f>
        <v>115</v>
      </c>
      <c r="BT70" s="20"/>
      <c r="BU70" s="21"/>
      <c r="BV70" s="19">
        <f>BP70</f>
        <v>115</v>
      </c>
      <c r="BW70" s="20"/>
      <c r="BX70" s="21"/>
      <c r="BY70" s="19">
        <v>120</v>
      </c>
      <c r="BZ70" s="20"/>
      <c r="CA70" s="21"/>
      <c r="CB70" s="19">
        <v>140</v>
      </c>
      <c r="CC70" s="20"/>
      <c r="CD70" s="21"/>
      <c r="CE70" s="19">
        <f>CB70</f>
        <v>140</v>
      </c>
      <c r="CF70" s="20"/>
      <c r="CG70" s="21"/>
      <c r="CH70" s="19">
        <v>145</v>
      </c>
      <c r="CI70" s="20"/>
      <c r="CJ70" s="21"/>
    </row>
    <row r="71" spans="1:88" ht="18" customHeight="1">
      <c r="A71" s="3"/>
      <c r="B71" s="3"/>
      <c r="C71" s="3" t="s">
        <v>160</v>
      </c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U71" s="135" t="s">
        <v>17</v>
      </c>
      <c r="AV71" s="136"/>
      <c r="AW71" s="137"/>
      <c r="AX71" s="19">
        <v>75</v>
      </c>
      <c r="AY71" s="20"/>
      <c r="AZ71" s="21"/>
      <c r="BA71" s="19">
        <f>AX71</f>
        <v>75</v>
      </c>
      <c r="BB71" s="20"/>
      <c r="BC71" s="21"/>
      <c r="BD71" s="19">
        <f>AX71</f>
        <v>75</v>
      </c>
      <c r="BE71" s="20"/>
      <c r="BF71" s="21"/>
      <c r="BG71" s="19">
        <v>80</v>
      </c>
      <c r="BH71" s="20"/>
      <c r="BI71" s="21"/>
      <c r="BJ71" s="19">
        <v>100</v>
      </c>
      <c r="BK71" s="20"/>
      <c r="BL71" s="21"/>
      <c r="BM71" s="19">
        <v>105</v>
      </c>
      <c r="BN71" s="20"/>
      <c r="BO71" s="21"/>
      <c r="BP71" s="19">
        <v>110</v>
      </c>
      <c r="BQ71" s="20"/>
      <c r="BR71" s="21"/>
      <c r="BS71" s="19">
        <f>BP71</f>
        <v>110</v>
      </c>
      <c r="BT71" s="20"/>
      <c r="BU71" s="21"/>
      <c r="BV71" s="19">
        <f>BP71</f>
        <v>110</v>
      </c>
      <c r="BW71" s="20"/>
      <c r="BX71" s="21"/>
      <c r="BY71" s="19">
        <v>120</v>
      </c>
      <c r="BZ71" s="20"/>
      <c r="CA71" s="21"/>
      <c r="CB71" s="19">
        <v>135</v>
      </c>
      <c r="CC71" s="20"/>
      <c r="CD71" s="21"/>
      <c r="CE71" s="19">
        <f>CB71</f>
        <v>135</v>
      </c>
      <c r="CF71" s="20"/>
      <c r="CG71" s="21"/>
      <c r="CH71" s="19">
        <v>145</v>
      </c>
      <c r="CI71" s="20"/>
      <c r="CJ71" s="21"/>
    </row>
    <row r="72" spans="1:57" ht="18" customHeight="1">
      <c r="A72" s="3"/>
      <c r="B72" s="3"/>
      <c r="C72" s="3"/>
      <c r="D72" s="3" t="s">
        <v>79</v>
      </c>
      <c r="E72" s="33">
        <v>0.65</v>
      </c>
      <c r="F72" s="33"/>
      <c r="G72" s="33"/>
      <c r="H72" s="3" t="s">
        <v>83</v>
      </c>
      <c r="I72" s="3" t="s">
        <v>85</v>
      </c>
      <c r="J72" s="126">
        <v>0</v>
      </c>
      <c r="K72" s="33"/>
      <c r="L72" s="3" t="s">
        <v>81</v>
      </c>
      <c r="M72" s="127">
        <f>IF((AG22+AG23)&gt;=0,C32+1,C35+1)</f>
        <v>6</v>
      </c>
      <c r="N72" s="33"/>
      <c r="O72" s="3" t="s">
        <v>161</v>
      </c>
      <c r="P72" s="3" t="s">
        <v>78</v>
      </c>
      <c r="Q72" s="33">
        <v>0.13</v>
      </c>
      <c r="R72" s="33"/>
      <c r="S72" s="33"/>
      <c r="T72" s="3" t="s">
        <v>83</v>
      </c>
      <c r="U72" s="3" t="s">
        <v>85</v>
      </c>
      <c r="V72" s="126">
        <v>0</v>
      </c>
      <c r="W72" s="33"/>
      <c r="X72" s="3" t="s">
        <v>81</v>
      </c>
      <c r="Y72" s="127">
        <f>M72</f>
        <v>6</v>
      </c>
      <c r="Z72" s="33"/>
      <c r="AA72" s="3" t="s">
        <v>89</v>
      </c>
      <c r="AB72" s="3" t="s">
        <v>78</v>
      </c>
      <c r="AC72" s="126">
        <v>1</v>
      </c>
      <c r="AD72" s="33"/>
      <c r="AE72" s="3" t="s">
        <v>79</v>
      </c>
      <c r="AF72" s="33">
        <v>1</v>
      </c>
      <c r="AG72" s="33"/>
      <c r="AH72" s="33"/>
      <c r="AI72" s="33"/>
      <c r="AJ72" s="3"/>
      <c r="AK72" s="3"/>
      <c r="AL72" s="3"/>
      <c r="AM72" s="3"/>
      <c r="AN72" s="3"/>
      <c r="AO72" s="3"/>
      <c r="AP72" s="3"/>
      <c r="AQ72" s="3"/>
      <c r="AR72" s="3"/>
      <c r="AS72" s="3"/>
      <c r="AU72" s="5" t="s">
        <v>162</v>
      </c>
      <c r="AV72" s="5"/>
      <c r="AW72" s="5"/>
      <c r="AX72" s="5"/>
      <c r="AY72" s="5"/>
      <c r="AZ72" s="5"/>
      <c r="BA72" s="5"/>
      <c r="BB72" s="5"/>
      <c r="BC72" s="5"/>
      <c r="BD72" s="5"/>
      <c r="BE72" s="5"/>
    </row>
    <row r="73" spans="1:88" ht="18" customHeight="1">
      <c r="A73" s="3"/>
      <c r="B73" s="3"/>
      <c r="C73" s="3"/>
      <c r="D73" s="3" t="s">
        <v>163</v>
      </c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138"/>
      <c r="AU73" s="19">
        <f>IF(AG14&lt;=0.04,2,IF(AG14&lt;=0.075,3,4))</f>
        <v>2</v>
      </c>
      <c r="AV73" s="20"/>
      <c r="AW73" s="21"/>
      <c r="AX73" s="25" t="s">
        <v>4</v>
      </c>
      <c r="AY73" s="26"/>
      <c r="AZ73" s="27"/>
      <c r="BA73" s="25" t="s">
        <v>5</v>
      </c>
      <c r="BB73" s="26"/>
      <c r="BC73" s="27"/>
      <c r="BD73" s="25" t="s">
        <v>6</v>
      </c>
      <c r="BE73" s="26"/>
      <c r="BF73" s="27"/>
      <c r="BG73" s="25" t="s">
        <v>7</v>
      </c>
      <c r="BH73" s="26"/>
      <c r="BI73" s="27"/>
      <c r="BJ73" s="25" t="s">
        <v>88</v>
      </c>
      <c r="BK73" s="26"/>
      <c r="BL73" s="27"/>
      <c r="BM73" s="131" t="s">
        <v>8</v>
      </c>
      <c r="BN73" s="132"/>
      <c r="BO73" s="133"/>
      <c r="BP73" s="25" t="s">
        <v>9</v>
      </c>
      <c r="BQ73" s="26"/>
      <c r="BR73" s="27"/>
      <c r="BS73" s="25" t="s">
        <v>10</v>
      </c>
      <c r="BT73" s="26"/>
      <c r="BU73" s="27"/>
      <c r="BV73" s="25" t="s">
        <v>11</v>
      </c>
      <c r="BW73" s="26"/>
      <c r="BX73" s="27"/>
      <c r="BY73" s="131" t="s">
        <v>12</v>
      </c>
      <c r="BZ73" s="132"/>
      <c r="CA73" s="133"/>
      <c r="CB73" s="25" t="s">
        <v>13</v>
      </c>
      <c r="CC73" s="26"/>
      <c r="CD73" s="27"/>
      <c r="CE73" s="25" t="s">
        <v>14</v>
      </c>
      <c r="CF73" s="26"/>
      <c r="CG73" s="27"/>
      <c r="CH73" s="131" t="s">
        <v>15</v>
      </c>
      <c r="CI73" s="132"/>
      <c r="CJ73" s="133"/>
    </row>
    <row r="74" spans="1:88" ht="18" customHeight="1">
      <c r="A74" s="3"/>
      <c r="B74" s="3"/>
      <c r="C74" s="3"/>
      <c r="D74" s="3" t="s">
        <v>18</v>
      </c>
      <c r="E74" s="3"/>
      <c r="F74" s="3"/>
      <c r="G74" s="3"/>
      <c r="H74" s="3" t="s">
        <v>19</v>
      </c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138"/>
      <c r="AU74" s="19">
        <v>40</v>
      </c>
      <c r="AV74" s="20"/>
      <c r="AW74" s="21"/>
      <c r="AX74" s="19">
        <v>140</v>
      </c>
      <c r="AY74" s="20"/>
      <c r="AZ74" s="21"/>
      <c r="BA74" s="19">
        <f>AX74</f>
        <v>140</v>
      </c>
      <c r="BB74" s="20"/>
      <c r="BC74" s="21"/>
      <c r="BD74" s="19">
        <f>AX74</f>
        <v>140</v>
      </c>
      <c r="BE74" s="20"/>
      <c r="BF74" s="21"/>
      <c r="BG74" s="19">
        <v>140</v>
      </c>
      <c r="BH74" s="20"/>
      <c r="BI74" s="21"/>
      <c r="BJ74" s="19">
        <v>185</v>
      </c>
      <c r="BK74" s="20"/>
      <c r="BL74" s="21"/>
      <c r="BM74" s="19">
        <f>BJ74</f>
        <v>185</v>
      </c>
      <c r="BN74" s="20"/>
      <c r="BO74" s="21"/>
      <c r="BP74" s="19">
        <v>210</v>
      </c>
      <c r="BQ74" s="20"/>
      <c r="BR74" s="21"/>
      <c r="BS74" s="19">
        <f>BP74</f>
        <v>210</v>
      </c>
      <c r="BT74" s="20"/>
      <c r="BU74" s="21"/>
      <c r="BV74" s="19">
        <f>BP74</f>
        <v>210</v>
      </c>
      <c r="BW74" s="20"/>
      <c r="BX74" s="21"/>
      <c r="BY74" s="19">
        <v>210</v>
      </c>
      <c r="BZ74" s="20"/>
      <c r="CA74" s="21"/>
      <c r="CB74" s="19">
        <v>255</v>
      </c>
      <c r="CC74" s="20"/>
      <c r="CD74" s="21"/>
      <c r="CE74" s="19">
        <f>CB74</f>
        <v>255</v>
      </c>
      <c r="CF74" s="20"/>
      <c r="CG74" s="21"/>
      <c r="CH74" s="19">
        <f>CE74</f>
        <v>255</v>
      </c>
      <c r="CI74" s="20"/>
      <c r="CJ74" s="21"/>
    </row>
    <row r="75" spans="1:88" ht="18" customHeight="1">
      <c r="A75" s="3"/>
      <c r="B75" s="3"/>
      <c r="C75" s="3"/>
      <c r="D75" s="3"/>
      <c r="E75" s="3"/>
      <c r="F75" s="3"/>
      <c r="G75" s="3"/>
      <c r="H75" s="3" t="s">
        <v>20</v>
      </c>
      <c r="I75" s="3"/>
      <c r="J75" s="3"/>
      <c r="K75" s="3"/>
      <c r="L75" s="3"/>
      <c r="M75" s="3"/>
      <c r="N75" s="3"/>
      <c r="O75" s="3"/>
      <c r="P75" s="3"/>
      <c r="Q75" s="3" t="s">
        <v>21</v>
      </c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138"/>
      <c r="AU75" s="135" t="s">
        <v>16</v>
      </c>
      <c r="AV75" s="136"/>
      <c r="AW75" s="137"/>
      <c r="AX75" s="19">
        <v>125</v>
      </c>
      <c r="AY75" s="20"/>
      <c r="AZ75" s="21"/>
      <c r="BA75" s="19">
        <f>AX75</f>
        <v>125</v>
      </c>
      <c r="BB75" s="20"/>
      <c r="BC75" s="21"/>
      <c r="BD75" s="19">
        <f>AX75</f>
        <v>125</v>
      </c>
      <c r="BE75" s="20"/>
      <c r="BF75" s="21"/>
      <c r="BG75" s="19">
        <v>140</v>
      </c>
      <c r="BH75" s="20"/>
      <c r="BI75" s="21"/>
      <c r="BJ75" s="19">
        <v>175</v>
      </c>
      <c r="BK75" s="20"/>
      <c r="BL75" s="21"/>
      <c r="BM75" s="19">
        <f>BM74</f>
        <v>185</v>
      </c>
      <c r="BN75" s="20"/>
      <c r="BO75" s="21"/>
      <c r="BP75" s="19">
        <v>195</v>
      </c>
      <c r="BQ75" s="20"/>
      <c r="BR75" s="21"/>
      <c r="BS75" s="19">
        <f>BP75</f>
        <v>195</v>
      </c>
      <c r="BT75" s="20"/>
      <c r="BU75" s="21"/>
      <c r="BV75" s="19">
        <f>BP75</f>
        <v>195</v>
      </c>
      <c r="BW75" s="20"/>
      <c r="BX75" s="21"/>
      <c r="BY75" s="19">
        <v>210</v>
      </c>
      <c r="BZ75" s="20"/>
      <c r="CA75" s="21"/>
      <c r="CB75" s="19">
        <v>245</v>
      </c>
      <c r="CC75" s="20"/>
      <c r="CD75" s="21"/>
      <c r="CE75" s="19">
        <f>CB75</f>
        <v>245</v>
      </c>
      <c r="CF75" s="20"/>
      <c r="CG75" s="21"/>
      <c r="CH75" s="19">
        <f>CH74</f>
        <v>255</v>
      </c>
      <c r="CI75" s="20"/>
      <c r="CJ75" s="21"/>
    </row>
    <row r="76" spans="1:88" ht="18" customHeight="1">
      <c r="A76" s="3"/>
      <c r="B76" s="3"/>
      <c r="C76" s="3"/>
      <c r="D76" s="3"/>
      <c r="E76" s="3"/>
      <c r="F76" s="3"/>
      <c r="G76" s="3"/>
      <c r="H76" s="3" t="s">
        <v>164</v>
      </c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U76" s="135" t="s">
        <v>17</v>
      </c>
      <c r="AV76" s="136"/>
      <c r="AW76" s="137"/>
      <c r="AX76" s="19">
        <v>125</v>
      </c>
      <c r="AY76" s="20"/>
      <c r="AZ76" s="21"/>
      <c r="BA76" s="19">
        <f>AX76</f>
        <v>125</v>
      </c>
      <c r="BB76" s="20"/>
      <c r="BC76" s="21"/>
      <c r="BD76" s="19">
        <f>AX76</f>
        <v>125</v>
      </c>
      <c r="BE76" s="20"/>
      <c r="BF76" s="21"/>
      <c r="BG76" s="19">
        <v>140</v>
      </c>
      <c r="BH76" s="20"/>
      <c r="BI76" s="21"/>
      <c r="BJ76" s="19">
        <v>175</v>
      </c>
      <c r="BK76" s="20"/>
      <c r="BL76" s="21"/>
      <c r="BM76" s="19">
        <f>BM74</f>
        <v>185</v>
      </c>
      <c r="BN76" s="20"/>
      <c r="BO76" s="21"/>
      <c r="BP76" s="19">
        <v>190</v>
      </c>
      <c r="BQ76" s="20"/>
      <c r="BR76" s="21"/>
      <c r="BS76" s="19">
        <f>BP76</f>
        <v>190</v>
      </c>
      <c r="BT76" s="20"/>
      <c r="BU76" s="21"/>
      <c r="BV76" s="19">
        <f>BP76</f>
        <v>190</v>
      </c>
      <c r="BW76" s="20"/>
      <c r="BX76" s="21"/>
      <c r="BY76" s="19">
        <v>210</v>
      </c>
      <c r="BZ76" s="20"/>
      <c r="CA76" s="21"/>
      <c r="CB76" s="19">
        <v>240</v>
      </c>
      <c r="CC76" s="20"/>
      <c r="CD76" s="21"/>
      <c r="CE76" s="19">
        <f>CB76</f>
        <v>240</v>
      </c>
      <c r="CF76" s="20"/>
      <c r="CG76" s="21"/>
      <c r="CH76" s="19">
        <f>CH74</f>
        <v>255</v>
      </c>
      <c r="CI76" s="20"/>
      <c r="CJ76" s="21"/>
    </row>
    <row r="77" spans="1:57" ht="18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 t="s">
        <v>165</v>
      </c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6"/>
      <c r="AU77" s="5" t="s">
        <v>166</v>
      </c>
      <c r="AV77" s="5"/>
      <c r="AW77" s="5"/>
      <c r="AX77" s="5"/>
      <c r="AY77" s="5"/>
      <c r="AZ77" s="5"/>
      <c r="BA77" s="5"/>
      <c r="BB77" s="5"/>
      <c r="BC77" s="5"/>
      <c r="BD77" s="5"/>
      <c r="BE77" s="5"/>
    </row>
    <row r="78" spans="1:88" ht="18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7"/>
      <c r="AU78" s="19">
        <f>IF(AG13&lt;=0.04,2,IF(AG13&lt;=0.075,3,4))</f>
        <v>2</v>
      </c>
      <c r="AV78" s="20"/>
      <c r="AW78" s="21"/>
      <c r="AX78" s="25" t="s">
        <v>4</v>
      </c>
      <c r="AY78" s="26"/>
      <c r="AZ78" s="27"/>
      <c r="BA78" s="25" t="s">
        <v>5</v>
      </c>
      <c r="BB78" s="26"/>
      <c r="BC78" s="27"/>
      <c r="BD78" s="25" t="s">
        <v>6</v>
      </c>
      <c r="BE78" s="26"/>
      <c r="BF78" s="27"/>
      <c r="BG78" s="25" t="s">
        <v>7</v>
      </c>
      <c r="BH78" s="26"/>
      <c r="BI78" s="27"/>
      <c r="BJ78" s="25" t="s">
        <v>88</v>
      </c>
      <c r="BK78" s="26"/>
      <c r="BL78" s="27"/>
      <c r="BM78" s="131" t="s">
        <v>8</v>
      </c>
      <c r="BN78" s="132"/>
      <c r="BO78" s="133"/>
      <c r="BP78" s="25" t="s">
        <v>9</v>
      </c>
      <c r="BQ78" s="26"/>
      <c r="BR78" s="27"/>
      <c r="BS78" s="25" t="s">
        <v>10</v>
      </c>
      <c r="BT78" s="26"/>
      <c r="BU78" s="27"/>
      <c r="BV78" s="25" t="s">
        <v>11</v>
      </c>
      <c r="BW78" s="26"/>
      <c r="BX78" s="27"/>
      <c r="BY78" s="131" t="s">
        <v>12</v>
      </c>
      <c r="BZ78" s="132"/>
      <c r="CA78" s="133"/>
      <c r="CB78" s="25" t="s">
        <v>13</v>
      </c>
      <c r="CC78" s="26"/>
      <c r="CD78" s="27"/>
      <c r="CE78" s="25" t="s">
        <v>14</v>
      </c>
      <c r="CF78" s="26"/>
      <c r="CG78" s="27"/>
      <c r="CH78" s="131" t="s">
        <v>15</v>
      </c>
      <c r="CI78" s="132"/>
      <c r="CJ78" s="133"/>
    </row>
    <row r="79" spans="1:88" ht="18" customHeight="1">
      <c r="A79" s="3"/>
      <c r="B79" s="3"/>
      <c r="C79" s="3" t="s">
        <v>22</v>
      </c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 t="s">
        <v>85</v>
      </c>
      <c r="S79" s="33" t="str">
        <f>AG4</f>
        <v>SMA490</v>
      </c>
      <c r="T79" s="33"/>
      <c r="U79" s="33"/>
      <c r="V79" s="33"/>
      <c r="W79" s="3" t="s">
        <v>23</v>
      </c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139"/>
      <c r="AU79" s="19">
        <v>40</v>
      </c>
      <c r="AV79" s="20"/>
      <c r="AW79" s="21"/>
      <c r="AX79" s="19">
        <v>140</v>
      </c>
      <c r="AY79" s="20"/>
      <c r="AZ79" s="21"/>
      <c r="BA79" s="19">
        <f>AX79</f>
        <v>140</v>
      </c>
      <c r="BB79" s="20"/>
      <c r="BC79" s="21"/>
      <c r="BD79" s="19">
        <f>AX79</f>
        <v>140</v>
      </c>
      <c r="BE79" s="20"/>
      <c r="BF79" s="21"/>
      <c r="BG79" s="19">
        <v>140</v>
      </c>
      <c r="BH79" s="20"/>
      <c r="BI79" s="21"/>
      <c r="BJ79" s="19">
        <v>185</v>
      </c>
      <c r="BK79" s="20"/>
      <c r="BL79" s="21"/>
      <c r="BM79" s="19">
        <f>BJ79</f>
        <v>185</v>
      </c>
      <c r="BN79" s="20"/>
      <c r="BO79" s="21"/>
      <c r="BP79" s="19">
        <v>210</v>
      </c>
      <c r="BQ79" s="20"/>
      <c r="BR79" s="21"/>
      <c r="BS79" s="19">
        <f>BP79</f>
        <v>210</v>
      </c>
      <c r="BT79" s="20"/>
      <c r="BU79" s="21"/>
      <c r="BV79" s="19">
        <f>BP79</f>
        <v>210</v>
      </c>
      <c r="BW79" s="20"/>
      <c r="BX79" s="21"/>
      <c r="BY79" s="19">
        <v>210</v>
      </c>
      <c r="BZ79" s="20"/>
      <c r="CA79" s="21"/>
      <c r="CB79" s="19">
        <v>255</v>
      </c>
      <c r="CC79" s="20"/>
      <c r="CD79" s="21"/>
      <c r="CE79" s="19">
        <f>CB79</f>
        <v>255</v>
      </c>
      <c r="CF79" s="20"/>
      <c r="CG79" s="21"/>
      <c r="CH79" s="19">
        <f>CE79</f>
        <v>255</v>
      </c>
      <c r="CI79" s="20"/>
      <c r="CJ79" s="21"/>
    </row>
    <row r="80" spans="1:88" ht="18" customHeight="1">
      <c r="A80" s="3"/>
      <c r="B80" s="3"/>
      <c r="C80" s="3"/>
      <c r="D80" s="3"/>
      <c r="E80" s="3" t="s">
        <v>90</v>
      </c>
      <c r="F80" s="3"/>
      <c r="G80" s="3"/>
      <c r="H80" s="126">
        <f>HLOOKUP(S79,AX73:CJ76,AU73,FALSE)</f>
        <v>210</v>
      </c>
      <c r="I80" s="126"/>
      <c r="J80" s="126"/>
      <c r="K80" s="126"/>
      <c r="L80" s="3" t="s">
        <v>101</v>
      </c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U80" s="135" t="s">
        <v>16</v>
      </c>
      <c r="AV80" s="136"/>
      <c r="AW80" s="137"/>
      <c r="AX80" s="19">
        <v>125</v>
      </c>
      <c r="AY80" s="20"/>
      <c r="AZ80" s="21"/>
      <c r="BA80" s="19">
        <f>AX80</f>
        <v>125</v>
      </c>
      <c r="BB80" s="20"/>
      <c r="BC80" s="21"/>
      <c r="BD80" s="19">
        <f>AX80</f>
        <v>125</v>
      </c>
      <c r="BE80" s="20"/>
      <c r="BF80" s="21"/>
      <c r="BG80" s="19">
        <v>140</v>
      </c>
      <c r="BH80" s="20"/>
      <c r="BI80" s="21"/>
      <c r="BJ80" s="19">
        <v>175</v>
      </c>
      <c r="BK80" s="20"/>
      <c r="BL80" s="21"/>
      <c r="BM80" s="19">
        <f>BM79</f>
        <v>185</v>
      </c>
      <c r="BN80" s="20"/>
      <c r="BO80" s="21"/>
      <c r="BP80" s="19">
        <v>195</v>
      </c>
      <c r="BQ80" s="20"/>
      <c r="BR80" s="21"/>
      <c r="BS80" s="19">
        <f>BP80</f>
        <v>195</v>
      </c>
      <c r="BT80" s="20"/>
      <c r="BU80" s="21"/>
      <c r="BV80" s="19">
        <f>BP80</f>
        <v>195</v>
      </c>
      <c r="BW80" s="20"/>
      <c r="BX80" s="21"/>
      <c r="BY80" s="19">
        <v>210</v>
      </c>
      <c r="BZ80" s="20"/>
      <c r="CA80" s="21"/>
      <c r="CB80" s="19">
        <v>245</v>
      </c>
      <c r="CC80" s="20"/>
      <c r="CD80" s="21"/>
      <c r="CE80" s="19">
        <f>CB80</f>
        <v>245</v>
      </c>
      <c r="CF80" s="20"/>
      <c r="CG80" s="21"/>
      <c r="CH80" s="19">
        <f>CH79</f>
        <v>255</v>
      </c>
      <c r="CI80" s="20"/>
      <c r="CJ80" s="21"/>
    </row>
    <row r="81" spans="1:88" ht="18" customHeight="1">
      <c r="A81" s="3"/>
      <c r="B81" s="3"/>
      <c r="C81" s="3" t="s">
        <v>24</v>
      </c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 t="s">
        <v>85</v>
      </c>
      <c r="S81" s="33" t="str">
        <f>S79</f>
        <v>SMA490</v>
      </c>
      <c r="T81" s="33"/>
      <c r="U81" s="33"/>
      <c r="V81" s="33"/>
      <c r="W81" s="3" t="s">
        <v>23</v>
      </c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U81" s="135" t="s">
        <v>17</v>
      </c>
      <c r="AV81" s="136"/>
      <c r="AW81" s="137"/>
      <c r="AX81" s="19">
        <v>125</v>
      </c>
      <c r="AY81" s="20"/>
      <c r="AZ81" s="21"/>
      <c r="BA81" s="19">
        <f>AX81</f>
        <v>125</v>
      </c>
      <c r="BB81" s="20"/>
      <c r="BC81" s="21"/>
      <c r="BD81" s="19">
        <f>AX81</f>
        <v>125</v>
      </c>
      <c r="BE81" s="20"/>
      <c r="BF81" s="21"/>
      <c r="BG81" s="19">
        <v>140</v>
      </c>
      <c r="BH81" s="20"/>
      <c r="BI81" s="21"/>
      <c r="BJ81" s="19">
        <v>175</v>
      </c>
      <c r="BK81" s="20"/>
      <c r="BL81" s="21"/>
      <c r="BM81" s="19">
        <f>BM79</f>
        <v>185</v>
      </c>
      <c r="BN81" s="20"/>
      <c r="BO81" s="21"/>
      <c r="BP81" s="19">
        <v>190</v>
      </c>
      <c r="BQ81" s="20"/>
      <c r="BR81" s="21"/>
      <c r="BS81" s="19">
        <f>BP81</f>
        <v>190</v>
      </c>
      <c r="BT81" s="20"/>
      <c r="BU81" s="21"/>
      <c r="BV81" s="19">
        <f>BP81</f>
        <v>190</v>
      </c>
      <c r="BW81" s="20"/>
      <c r="BX81" s="21"/>
      <c r="BY81" s="19">
        <v>210</v>
      </c>
      <c r="BZ81" s="20"/>
      <c r="CA81" s="21"/>
      <c r="CB81" s="19">
        <v>240</v>
      </c>
      <c r="CC81" s="20"/>
      <c r="CD81" s="21"/>
      <c r="CE81" s="19">
        <f>CB81</f>
        <v>240</v>
      </c>
      <c r="CF81" s="20"/>
      <c r="CG81" s="21"/>
      <c r="CH81" s="19">
        <f>CH79</f>
        <v>255</v>
      </c>
      <c r="CI81" s="20"/>
      <c r="CJ81" s="21"/>
    </row>
    <row r="82" spans="1:58" ht="18" customHeight="1">
      <c r="A82" s="3"/>
      <c r="B82" s="3"/>
      <c r="C82" s="3"/>
      <c r="D82" s="3"/>
      <c r="E82" s="33" t="s">
        <v>167</v>
      </c>
      <c r="F82" s="33"/>
      <c r="G82" s="33"/>
      <c r="H82" s="33"/>
      <c r="I82" s="33"/>
      <c r="J82" s="140"/>
      <c r="K82" s="141" t="s">
        <v>91</v>
      </c>
      <c r="L82" s="141"/>
      <c r="M82" s="140"/>
      <c r="N82" s="140"/>
      <c r="O82" s="3"/>
      <c r="P82" s="33" t="s">
        <v>79</v>
      </c>
      <c r="Q82" s="3"/>
      <c r="R82" s="140"/>
      <c r="S82" s="140"/>
      <c r="T82" s="142">
        <f>(AG7+AM7)*1000</f>
        <v>2400</v>
      </c>
      <c r="U82" s="141"/>
      <c r="V82" s="141"/>
      <c r="W82" s="140"/>
      <c r="X82" s="140"/>
      <c r="Y82" s="140"/>
      <c r="Z82" s="140"/>
      <c r="AA82" s="33" t="s">
        <v>79</v>
      </c>
      <c r="AB82" s="33"/>
      <c r="AC82" s="126">
        <f>T82/(R83*U83*Y83)</f>
        <v>18.181818181818183</v>
      </c>
      <c r="AD82" s="126"/>
      <c r="AE82" s="126"/>
      <c r="AF82" s="33" t="s">
        <v>71</v>
      </c>
      <c r="AG82" s="3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U82" s="5" t="s">
        <v>168</v>
      </c>
      <c r="AV82" s="5"/>
      <c r="AW82" s="5"/>
      <c r="AX82" s="5"/>
      <c r="AY82" s="5"/>
      <c r="AZ82" s="5"/>
      <c r="BA82" s="8"/>
      <c r="BB82" s="8"/>
      <c r="BC82" s="8"/>
      <c r="BD82" s="8"/>
      <c r="BE82" s="8"/>
      <c r="BF82" s="3"/>
    </row>
    <row r="83" spans="1:88" ht="18" customHeight="1">
      <c r="A83" s="3"/>
      <c r="B83" s="3"/>
      <c r="C83" s="3"/>
      <c r="D83" s="3"/>
      <c r="E83" s="33"/>
      <c r="F83" s="33"/>
      <c r="G83" s="33"/>
      <c r="H83" s="33"/>
      <c r="I83" s="33"/>
      <c r="J83" s="143">
        <f>HLOOKUP(S81,AX83:CJ86,AU84,FALSE)</f>
        <v>22</v>
      </c>
      <c r="K83" s="144"/>
      <c r="L83" s="3" t="s">
        <v>92</v>
      </c>
      <c r="M83" s="3"/>
      <c r="N83" s="3"/>
      <c r="O83" s="3"/>
      <c r="P83" s="33"/>
      <c r="Q83" s="3"/>
      <c r="R83" s="143">
        <f>J83</f>
        <v>22</v>
      </c>
      <c r="S83" s="144"/>
      <c r="T83" s="3" t="s">
        <v>83</v>
      </c>
      <c r="U83" s="144">
        <f>AF72</f>
        <v>1</v>
      </c>
      <c r="V83" s="144"/>
      <c r="W83" s="144"/>
      <c r="X83" s="3" t="s">
        <v>83</v>
      </c>
      <c r="Y83" s="143">
        <f>C32+1</f>
        <v>6</v>
      </c>
      <c r="Z83" s="144"/>
      <c r="AA83" s="33"/>
      <c r="AB83" s="33"/>
      <c r="AC83" s="126"/>
      <c r="AD83" s="126"/>
      <c r="AE83" s="126"/>
      <c r="AF83" s="33"/>
      <c r="AG83" s="3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U83" s="19">
        <f>AU78</f>
        <v>2</v>
      </c>
      <c r="AV83" s="20"/>
      <c r="AW83" s="21"/>
      <c r="AX83" s="25" t="s">
        <v>4</v>
      </c>
      <c r="AY83" s="26"/>
      <c r="AZ83" s="27"/>
      <c r="BA83" s="28" t="s">
        <v>5</v>
      </c>
      <c r="BB83" s="29"/>
      <c r="BC83" s="30"/>
      <c r="BD83" s="28" t="s">
        <v>6</v>
      </c>
      <c r="BE83" s="29"/>
      <c r="BF83" s="30"/>
      <c r="BG83" s="25" t="s">
        <v>7</v>
      </c>
      <c r="BH83" s="26"/>
      <c r="BI83" s="27"/>
      <c r="BJ83" s="25" t="s">
        <v>88</v>
      </c>
      <c r="BK83" s="26"/>
      <c r="BL83" s="27"/>
      <c r="BM83" s="131" t="s">
        <v>8</v>
      </c>
      <c r="BN83" s="132"/>
      <c r="BO83" s="133"/>
      <c r="BP83" s="25" t="s">
        <v>9</v>
      </c>
      <c r="BQ83" s="26"/>
      <c r="BR83" s="27"/>
      <c r="BS83" s="25" t="s">
        <v>10</v>
      </c>
      <c r="BT83" s="26"/>
      <c r="BU83" s="27"/>
      <c r="BV83" s="25" t="s">
        <v>11</v>
      </c>
      <c r="BW83" s="26"/>
      <c r="BX83" s="27"/>
      <c r="BY83" s="131" t="s">
        <v>12</v>
      </c>
      <c r="BZ83" s="132"/>
      <c r="CA83" s="133"/>
      <c r="CB83" s="25" t="s">
        <v>13</v>
      </c>
      <c r="CC83" s="26"/>
      <c r="CD83" s="27"/>
      <c r="CE83" s="25" t="s">
        <v>14</v>
      </c>
      <c r="CF83" s="26"/>
      <c r="CG83" s="27"/>
      <c r="CH83" s="131" t="s">
        <v>15</v>
      </c>
      <c r="CI83" s="132"/>
      <c r="CJ83" s="133"/>
    </row>
    <row r="84" spans="1:88" ht="18" customHeight="1">
      <c r="A84" s="3"/>
      <c r="B84" s="3"/>
      <c r="C84" s="3"/>
      <c r="D84" s="3"/>
      <c r="E84" s="3"/>
      <c r="F84" s="3"/>
      <c r="G84" s="3" t="s">
        <v>25</v>
      </c>
      <c r="H84" s="3"/>
      <c r="I84" s="3"/>
      <c r="J84" s="3"/>
      <c r="K84" s="3"/>
      <c r="L84" s="3"/>
      <c r="M84" s="3"/>
      <c r="N84" s="3"/>
      <c r="O84" s="65">
        <f>HLOOKUP(S81,AX78:CJ81,AU78,FALSE)</f>
        <v>210</v>
      </c>
      <c r="P84" s="65"/>
      <c r="Q84" s="65"/>
      <c r="R84" s="65"/>
      <c r="S84" s="3" t="s">
        <v>101</v>
      </c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U84" s="19">
        <v>2</v>
      </c>
      <c r="AV84" s="20"/>
      <c r="AW84" s="21"/>
      <c r="AX84" s="16">
        <v>28</v>
      </c>
      <c r="AY84" s="16"/>
      <c r="AZ84" s="16"/>
      <c r="BA84" s="18">
        <f>AX84</f>
        <v>28</v>
      </c>
      <c r="BB84" s="18"/>
      <c r="BC84" s="18"/>
      <c r="BD84" s="18">
        <f>AX84</f>
        <v>28</v>
      </c>
      <c r="BE84" s="18"/>
      <c r="BF84" s="18"/>
      <c r="BG84" s="16">
        <f>BA84</f>
        <v>28</v>
      </c>
      <c r="BH84" s="16"/>
      <c r="BI84" s="16"/>
      <c r="BJ84" s="17">
        <v>24</v>
      </c>
      <c r="BK84" s="17"/>
      <c r="BL84" s="17"/>
      <c r="BM84" s="17">
        <f>BJ84</f>
        <v>24</v>
      </c>
      <c r="BN84" s="17"/>
      <c r="BO84" s="17"/>
      <c r="BP84" s="17">
        <v>22</v>
      </c>
      <c r="BQ84" s="17"/>
      <c r="BR84" s="17"/>
      <c r="BS84" s="17">
        <f>BP84</f>
        <v>22</v>
      </c>
      <c r="BT84" s="17"/>
      <c r="BU84" s="17"/>
      <c r="BV84" s="17">
        <f>BP84</f>
        <v>22</v>
      </c>
      <c r="BW84" s="17"/>
      <c r="BX84" s="17"/>
      <c r="BY84" s="16">
        <f>BP84</f>
        <v>22</v>
      </c>
      <c r="BZ84" s="16"/>
      <c r="CA84" s="16"/>
      <c r="CB84" s="16">
        <v>22</v>
      </c>
      <c r="CC84" s="16"/>
      <c r="CD84" s="16"/>
      <c r="CE84" s="16">
        <f>CB84</f>
        <v>22</v>
      </c>
      <c r="CF84" s="16"/>
      <c r="CG84" s="16"/>
      <c r="CH84" s="16">
        <f>CB84</f>
        <v>22</v>
      </c>
      <c r="CI84" s="16"/>
      <c r="CJ84" s="16"/>
    </row>
    <row r="85" spans="1:88" ht="18" customHeight="1">
      <c r="A85" s="3"/>
      <c r="B85" s="3"/>
      <c r="C85" s="3"/>
      <c r="D85" s="3"/>
      <c r="E85" s="140"/>
      <c r="F85" s="141" t="s">
        <v>91</v>
      </c>
      <c r="G85" s="141"/>
      <c r="H85" s="140"/>
      <c r="I85" s="3"/>
      <c r="J85" s="33" t="s">
        <v>93</v>
      </c>
      <c r="K85" s="33" t="s">
        <v>167</v>
      </c>
      <c r="L85" s="33"/>
      <c r="M85" s="33"/>
      <c r="N85" s="33"/>
      <c r="O85" s="33"/>
      <c r="P85" s="140"/>
      <c r="Q85" s="141" t="s">
        <v>91</v>
      </c>
      <c r="R85" s="141"/>
      <c r="S85" s="140"/>
      <c r="T85" s="3"/>
      <c r="U85" s="33" t="s">
        <v>79</v>
      </c>
      <c r="V85" s="140"/>
      <c r="W85" s="140"/>
      <c r="X85" s="142">
        <f>(AG7+AM7)*1000</f>
        <v>2400</v>
      </c>
      <c r="Y85" s="141"/>
      <c r="Z85" s="141"/>
      <c r="AA85" s="140"/>
      <c r="AB85" s="140"/>
      <c r="AC85" s="140"/>
      <c r="AD85" s="140"/>
      <c r="AE85" s="33" t="s">
        <v>79</v>
      </c>
      <c r="AF85" s="126">
        <f>X85/(V86*Y86*AC86)</f>
        <v>8.695652173913043</v>
      </c>
      <c r="AG85" s="126"/>
      <c r="AH85" s="126"/>
      <c r="AI85" s="33" t="s">
        <v>71</v>
      </c>
      <c r="AJ85" s="33"/>
      <c r="AK85" s="3"/>
      <c r="AL85" s="3"/>
      <c r="AM85" s="3"/>
      <c r="AN85" s="3"/>
      <c r="AO85" s="3"/>
      <c r="AP85" s="3"/>
      <c r="AQ85" s="3"/>
      <c r="AR85" s="3"/>
      <c r="AS85" s="3"/>
      <c r="AU85" s="19">
        <v>3</v>
      </c>
      <c r="AV85" s="20"/>
      <c r="AW85" s="21"/>
      <c r="AX85" s="22">
        <f>IF(AU83=2,2.6,2.1)</f>
        <v>2.6</v>
      </c>
      <c r="AY85" s="22"/>
      <c r="AZ85" s="22"/>
      <c r="BA85" s="24">
        <f>AX85</f>
        <v>2.6</v>
      </c>
      <c r="BB85" s="24"/>
      <c r="BC85" s="24"/>
      <c r="BD85" s="24">
        <f>AX85</f>
        <v>2.6</v>
      </c>
      <c r="BE85" s="24"/>
      <c r="BF85" s="24"/>
      <c r="BG85" s="22">
        <f>BA85</f>
        <v>2.6</v>
      </c>
      <c r="BH85" s="22"/>
      <c r="BI85" s="22"/>
      <c r="BJ85" s="23">
        <f>IF(AU83=2,3.9,3.5)</f>
        <v>3.9</v>
      </c>
      <c r="BK85" s="23"/>
      <c r="BL85" s="23"/>
      <c r="BM85" s="23">
        <f>BJ85</f>
        <v>3.9</v>
      </c>
      <c r="BN85" s="23"/>
      <c r="BO85" s="23"/>
      <c r="BP85" s="23">
        <f>IF(AU83=2,4.6,IF(AU83=3,4,3.7))</f>
        <v>4.6</v>
      </c>
      <c r="BQ85" s="23"/>
      <c r="BR85" s="23"/>
      <c r="BS85" s="23">
        <f>BP85</f>
        <v>4.6</v>
      </c>
      <c r="BT85" s="23"/>
      <c r="BU85" s="23"/>
      <c r="BV85" s="23">
        <f>BP85</f>
        <v>4.6</v>
      </c>
      <c r="BW85" s="23"/>
      <c r="BX85" s="23"/>
      <c r="BY85" s="22">
        <f>BP85</f>
        <v>4.6</v>
      </c>
      <c r="BZ85" s="22"/>
      <c r="CA85" s="22"/>
      <c r="CB85" s="22">
        <f>IF(AU83=2,6.9,IF(AU83=3,6.2,6))</f>
        <v>6.9</v>
      </c>
      <c r="CC85" s="22"/>
      <c r="CD85" s="22"/>
      <c r="CE85" s="22">
        <f>CB85</f>
        <v>6.9</v>
      </c>
      <c r="CF85" s="22"/>
      <c r="CG85" s="22"/>
      <c r="CH85" s="22">
        <f>CB85</f>
        <v>6.9</v>
      </c>
      <c r="CI85" s="22"/>
      <c r="CJ85" s="22"/>
    </row>
    <row r="86" spans="1:88" ht="18" customHeight="1">
      <c r="A86" s="3"/>
      <c r="B86" s="3"/>
      <c r="C86" s="3"/>
      <c r="D86" s="3"/>
      <c r="E86" s="143">
        <f>HLOOKUP(S81,AX83:CJ86,AU84,FALSE)</f>
        <v>22</v>
      </c>
      <c r="F86" s="144"/>
      <c r="G86" s="3" t="s">
        <v>92</v>
      </c>
      <c r="H86" s="3"/>
      <c r="I86" s="3"/>
      <c r="J86" s="33"/>
      <c r="K86" s="33"/>
      <c r="L86" s="33"/>
      <c r="M86" s="33"/>
      <c r="N86" s="33"/>
      <c r="O86" s="33"/>
      <c r="P86" s="143">
        <f>HLOOKUP(S81,AX83:CJ86,AU86,FALSE)</f>
        <v>46</v>
      </c>
      <c r="Q86" s="144"/>
      <c r="R86" s="3" t="s">
        <v>92</v>
      </c>
      <c r="S86" s="3"/>
      <c r="T86" s="3"/>
      <c r="U86" s="33"/>
      <c r="V86" s="143">
        <f>P86</f>
        <v>46</v>
      </c>
      <c r="W86" s="144"/>
      <c r="X86" s="3" t="s">
        <v>83</v>
      </c>
      <c r="Y86" s="144">
        <f>AF72</f>
        <v>1</v>
      </c>
      <c r="Z86" s="144"/>
      <c r="AA86" s="144"/>
      <c r="AB86" s="3" t="s">
        <v>83</v>
      </c>
      <c r="AC86" s="143">
        <f>C32+1</f>
        <v>6</v>
      </c>
      <c r="AD86" s="144"/>
      <c r="AE86" s="33"/>
      <c r="AF86" s="126"/>
      <c r="AG86" s="126"/>
      <c r="AH86" s="126"/>
      <c r="AI86" s="33"/>
      <c r="AJ86" s="33"/>
      <c r="AK86" s="3"/>
      <c r="AL86" s="3"/>
      <c r="AM86" s="3"/>
      <c r="AN86" s="3"/>
      <c r="AO86" s="3"/>
      <c r="AP86" s="3"/>
      <c r="AQ86" s="3"/>
      <c r="AR86" s="3"/>
      <c r="AS86" s="3"/>
      <c r="AU86" s="19">
        <v>4</v>
      </c>
      <c r="AV86" s="20"/>
      <c r="AW86" s="21"/>
      <c r="AX86" s="16">
        <f>IF(AU83=2,56,58)</f>
        <v>56</v>
      </c>
      <c r="AY86" s="16"/>
      <c r="AZ86" s="16"/>
      <c r="BA86" s="18">
        <f>AX86</f>
        <v>56</v>
      </c>
      <c r="BB86" s="18"/>
      <c r="BC86" s="18"/>
      <c r="BD86" s="18">
        <f>AX86</f>
        <v>56</v>
      </c>
      <c r="BE86" s="18"/>
      <c r="BF86" s="18"/>
      <c r="BG86" s="16">
        <f>BA86</f>
        <v>56</v>
      </c>
      <c r="BH86" s="16"/>
      <c r="BI86" s="16"/>
      <c r="BJ86" s="17">
        <f>IF(AU83=2,48,50)</f>
        <v>48</v>
      </c>
      <c r="BK86" s="17"/>
      <c r="BL86" s="17"/>
      <c r="BM86" s="17">
        <f>BJ86</f>
        <v>48</v>
      </c>
      <c r="BN86" s="17"/>
      <c r="BO86" s="17"/>
      <c r="BP86" s="17">
        <f>IF(AU83=2,46,IF(AU83=3,46,48))</f>
        <v>46</v>
      </c>
      <c r="BQ86" s="17"/>
      <c r="BR86" s="17"/>
      <c r="BS86" s="17">
        <f>BP86</f>
        <v>46</v>
      </c>
      <c r="BT86" s="17"/>
      <c r="BU86" s="17"/>
      <c r="BV86" s="17">
        <f>BP86</f>
        <v>46</v>
      </c>
      <c r="BW86" s="17"/>
      <c r="BX86" s="17"/>
      <c r="BY86" s="16">
        <f>BP86</f>
        <v>46</v>
      </c>
      <c r="BZ86" s="16"/>
      <c r="CA86" s="16"/>
      <c r="CB86" s="16">
        <f>IF(AU83=2,40,IF(AU83=3,42,42))</f>
        <v>40</v>
      </c>
      <c r="CC86" s="16"/>
      <c r="CD86" s="16"/>
      <c r="CE86" s="16">
        <f>CB86</f>
        <v>40</v>
      </c>
      <c r="CF86" s="16"/>
      <c r="CG86" s="16"/>
      <c r="CH86" s="16">
        <f>CB86</f>
        <v>40</v>
      </c>
      <c r="CI86" s="16"/>
      <c r="CJ86" s="16"/>
    </row>
    <row r="87" spans="1:58" ht="18" customHeight="1">
      <c r="A87" s="3"/>
      <c r="B87" s="3"/>
      <c r="C87" s="3"/>
      <c r="D87" s="3"/>
      <c r="E87" s="3"/>
      <c r="F87" s="3"/>
      <c r="G87" s="3" t="s">
        <v>25</v>
      </c>
      <c r="H87" s="3"/>
      <c r="I87" s="3"/>
      <c r="J87" s="3"/>
      <c r="K87" s="3"/>
      <c r="L87" s="3"/>
      <c r="M87" s="3"/>
      <c r="N87" s="3"/>
      <c r="O87" s="127">
        <f>O84</f>
        <v>210</v>
      </c>
      <c r="P87" s="33"/>
      <c r="Q87" s="33"/>
      <c r="R87" s="3" t="s">
        <v>72</v>
      </c>
      <c r="S87" s="127">
        <f>HLOOKUP(S81,AX83:CJ86,AU85,FALSE)</f>
        <v>4.6</v>
      </c>
      <c r="T87" s="33"/>
      <c r="U87" s="3" t="s">
        <v>85</v>
      </c>
      <c r="V87" s="3" t="s">
        <v>94</v>
      </c>
      <c r="W87" s="3"/>
      <c r="X87" s="3"/>
      <c r="Y87" s="3"/>
      <c r="Z87" s="3"/>
      <c r="AA87" s="3"/>
      <c r="AB87" s="145">
        <f>E86</f>
        <v>22</v>
      </c>
      <c r="AC87" s="1"/>
      <c r="AD87" s="3" t="s">
        <v>89</v>
      </c>
      <c r="AE87" s="3" t="s">
        <v>79</v>
      </c>
      <c r="AF87" s="65">
        <f>ROUND(O87-S87*(X85/(AG13*1000*AF72*(C32+1))-AB87),3)</f>
        <v>157.867</v>
      </c>
      <c r="AG87" s="65"/>
      <c r="AH87" s="65"/>
      <c r="AI87" s="65"/>
      <c r="AJ87" s="3" t="s">
        <v>101</v>
      </c>
      <c r="AK87" s="3"/>
      <c r="AL87" s="3"/>
      <c r="AM87" s="3"/>
      <c r="AN87" s="3"/>
      <c r="AO87" s="3"/>
      <c r="AP87" s="3"/>
      <c r="AQ87" s="3"/>
      <c r="AR87" s="3"/>
      <c r="AS87" s="3"/>
      <c r="BA87" s="3"/>
      <c r="BB87" s="3"/>
      <c r="BC87" s="3"/>
      <c r="BD87" s="3"/>
      <c r="BE87" s="3"/>
      <c r="BF87" s="3"/>
    </row>
    <row r="88" spans="1:45" ht="18" customHeight="1">
      <c r="A88" s="3"/>
      <c r="B88" s="3"/>
      <c r="C88" s="3"/>
      <c r="D88" s="3"/>
      <c r="E88" s="140"/>
      <c r="F88" s="141" t="s">
        <v>91</v>
      </c>
      <c r="G88" s="141"/>
      <c r="H88" s="140"/>
      <c r="I88" s="3"/>
      <c r="J88" s="33" t="s">
        <v>93</v>
      </c>
      <c r="K88" s="33" t="s">
        <v>167</v>
      </c>
      <c r="L88" s="33"/>
      <c r="M88" s="33"/>
      <c r="N88" s="33"/>
      <c r="O88" s="33"/>
      <c r="P88" s="140"/>
      <c r="Q88" s="141" t="s">
        <v>91</v>
      </c>
      <c r="R88" s="141"/>
      <c r="S88" s="140"/>
      <c r="T88" s="3"/>
      <c r="U88" s="33" t="s">
        <v>79</v>
      </c>
      <c r="V88" s="140"/>
      <c r="W88" s="140"/>
      <c r="X88" s="142">
        <f>(AG7+AM7)*1000</f>
        <v>2400</v>
      </c>
      <c r="Y88" s="141"/>
      <c r="Z88" s="141"/>
      <c r="AA88" s="140"/>
      <c r="AB88" s="140"/>
      <c r="AC88" s="140"/>
      <c r="AD88" s="140"/>
      <c r="AE88" s="33" t="s">
        <v>79</v>
      </c>
      <c r="AF88" s="126">
        <f>X88/(V89*Y89*AC89)</f>
        <v>5</v>
      </c>
      <c r="AG88" s="126"/>
      <c r="AH88" s="126"/>
      <c r="AI88" s="33" t="s">
        <v>71</v>
      </c>
      <c r="AJ88" s="33"/>
      <c r="AK88" s="3"/>
      <c r="AL88" s="3"/>
      <c r="AM88" s="3"/>
      <c r="AN88" s="3"/>
      <c r="AO88" s="3"/>
      <c r="AP88" s="3"/>
      <c r="AQ88" s="3"/>
      <c r="AR88" s="3"/>
      <c r="AS88" s="3"/>
    </row>
    <row r="89" spans="1:45" ht="18" customHeight="1">
      <c r="A89" s="3"/>
      <c r="B89" s="3"/>
      <c r="C89" s="3"/>
      <c r="D89" s="3"/>
      <c r="E89" s="143">
        <f>P86</f>
        <v>46</v>
      </c>
      <c r="F89" s="144"/>
      <c r="G89" s="3" t="s">
        <v>92</v>
      </c>
      <c r="H89" s="3"/>
      <c r="I89" s="3"/>
      <c r="J89" s="33"/>
      <c r="K89" s="33"/>
      <c r="L89" s="33"/>
      <c r="M89" s="33"/>
      <c r="N89" s="33"/>
      <c r="O89" s="33"/>
      <c r="P89" s="143">
        <v>80</v>
      </c>
      <c r="Q89" s="144"/>
      <c r="R89" s="3" t="s">
        <v>92</v>
      </c>
      <c r="S89" s="3"/>
      <c r="T89" s="3"/>
      <c r="U89" s="33"/>
      <c r="V89" s="143">
        <f>P89</f>
        <v>80</v>
      </c>
      <c r="W89" s="144"/>
      <c r="X89" s="3" t="s">
        <v>83</v>
      </c>
      <c r="Y89" s="144">
        <f>AF72</f>
        <v>1</v>
      </c>
      <c r="Z89" s="144"/>
      <c r="AA89" s="144"/>
      <c r="AB89" s="3" t="s">
        <v>83</v>
      </c>
      <c r="AC89" s="143">
        <f>C32+1</f>
        <v>6</v>
      </c>
      <c r="AD89" s="144"/>
      <c r="AE89" s="33"/>
      <c r="AF89" s="126"/>
      <c r="AG89" s="126"/>
      <c r="AH89" s="126"/>
      <c r="AI89" s="33"/>
      <c r="AJ89" s="33"/>
      <c r="AK89" s="3"/>
      <c r="AL89" s="3"/>
      <c r="AM89" s="3"/>
      <c r="AN89" s="3"/>
      <c r="AO89" s="3"/>
      <c r="AP89" s="3"/>
      <c r="AQ89" s="3"/>
      <c r="AR89" s="3"/>
      <c r="AS89" s="3"/>
    </row>
    <row r="90" spans="1:47" ht="18" customHeight="1">
      <c r="A90" s="3"/>
      <c r="B90" s="3"/>
      <c r="C90" s="3"/>
      <c r="D90" s="3"/>
      <c r="E90" s="3"/>
      <c r="F90" s="3"/>
      <c r="G90" s="3" t="s">
        <v>25</v>
      </c>
      <c r="H90" s="3"/>
      <c r="I90" s="3"/>
      <c r="J90" s="3"/>
      <c r="K90" s="3"/>
      <c r="L90" s="3"/>
      <c r="M90" s="3"/>
      <c r="N90" s="127">
        <f>210000</f>
        <v>210000</v>
      </c>
      <c r="O90" s="127"/>
      <c r="P90" s="127"/>
      <c r="Q90" s="127"/>
      <c r="R90" s="3" t="s">
        <v>83</v>
      </c>
      <c r="S90" s="3" t="s">
        <v>95</v>
      </c>
      <c r="T90" s="3"/>
      <c r="U90" s="3"/>
      <c r="V90" s="3"/>
      <c r="W90" s="3"/>
      <c r="X90" s="3"/>
      <c r="Y90" s="3"/>
      <c r="Z90" s="3" t="s">
        <v>79</v>
      </c>
      <c r="AA90" s="33">
        <f>N90*(AG13*1000*Y89*AC89/X88)^2</f>
        <v>189</v>
      </c>
      <c r="AB90" s="33"/>
      <c r="AC90" s="33"/>
      <c r="AD90" s="33"/>
      <c r="AE90" s="3"/>
      <c r="AF90" s="3" t="s">
        <v>101</v>
      </c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U90" s="61"/>
    </row>
    <row r="91" spans="1:45" ht="18" customHeight="1">
      <c r="A91" s="3"/>
      <c r="B91" s="3"/>
      <c r="C91" s="3"/>
      <c r="D91" s="3"/>
      <c r="E91" s="3" t="s">
        <v>26</v>
      </c>
      <c r="F91" s="3"/>
      <c r="G91" s="3"/>
      <c r="H91" s="3"/>
      <c r="I91" s="3"/>
      <c r="J91" s="126">
        <f>AG13*1000</f>
        <v>12</v>
      </c>
      <c r="K91" s="126"/>
      <c r="L91" s="126"/>
      <c r="M91" s="2" t="s">
        <v>145</v>
      </c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</row>
    <row r="92" spans="1:45" ht="18" customHeight="1">
      <c r="A92" s="3"/>
      <c r="B92" s="3"/>
      <c r="C92" s="3"/>
      <c r="D92" s="3"/>
      <c r="E92" s="3" t="s">
        <v>27</v>
      </c>
      <c r="F92" s="3"/>
      <c r="G92" s="3"/>
      <c r="H92" s="3"/>
      <c r="I92" s="3"/>
      <c r="J92" s="3"/>
      <c r="K92" s="3"/>
      <c r="L92" s="33">
        <f>IF(J91&gt;=AC82,O84,IF(J91&gt;=AF85,AF87,IF(J91&gt;=AF88,AA90,"확인 요망")))</f>
        <v>157.867</v>
      </c>
      <c r="M92" s="33"/>
      <c r="N92" s="33"/>
      <c r="O92" s="33"/>
      <c r="P92" s="3" t="s">
        <v>101</v>
      </c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</row>
    <row r="93" spans="1:45" ht="18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</row>
    <row r="94" spans="1:45" ht="18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</row>
    <row r="95" spans="1:46" ht="18" customHeight="1">
      <c r="A95" s="3"/>
      <c r="B95" s="3"/>
      <c r="C95" s="146" t="s">
        <v>42</v>
      </c>
      <c r="D95" s="147"/>
      <c r="E95" s="147"/>
      <c r="F95" s="147"/>
      <c r="G95" s="147"/>
      <c r="H95" s="146" t="s">
        <v>43</v>
      </c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 t="s">
        <v>96</v>
      </c>
      <c r="AC95" s="147"/>
      <c r="AD95" s="147"/>
      <c r="AE95" s="147"/>
      <c r="AF95" s="147"/>
      <c r="AG95" s="147"/>
      <c r="AH95" s="147"/>
      <c r="AI95" s="147"/>
      <c r="AJ95" s="146" t="s">
        <v>44</v>
      </c>
      <c r="AK95" s="147"/>
      <c r="AL95" s="147"/>
      <c r="AM95" s="147"/>
      <c r="AN95" s="147"/>
      <c r="AO95" s="147"/>
      <c r="AP95" s="147"/>
      <c r="AQ95" s="147"/>
      <c r="AR95" s="148"/>
      <c r="AS95" s="148"/>
      <c r="AT95" s="139"/>
    </row>
    <row r="96" spans="1:46" ht="18" customHeight="1">
      <c r="A96" s="3"/>
      <c r="B96" s="3"/>
      <c r="C96" s="147"/>
      <c r="D96" s="147"/>
      <c r="E96" s="147"/>
      <c r="F96" s="147"/>
      <c r="G96" s="147"/>
      <c r="H96" s="146" t="s">
        <v>169</v>
      </c>
      <c r="I96" s="147"/>
      <c r="J96" s="147"/>
      <c r="K96" s="147"/>
      <c r="L96" s="147"/>
      <c r="M96" s="147"/>
      <c r="N96" s="147"/>
      <c r="O96" s="147"/>
      <c r="P96" s="147"/>
      <c r="Q96" s="147"/>
      <c r="R96" s="146" t="s">
        <v>170</v>
      </c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6" t="s">
        <v>45</v>
      </c>
      <c r="AK96" s="147"/>
      <c r="AL96" s="147"/>
      <c r="AM96" s="147"/>
      <c r="AN96" s="147"/>
      <c r="AO96" s="147"/>
      <c r="AP96" s="147"/>
      <c r="AQ96" s="147"/>
      <c r="AR96" s="148"/>
      <c r="AS96" s="148"/>
      <c r="AT96" s="139"/>
    </row>
    <row r="97" spans="1:46" ht="18" customHeight="1">
      <c r="A97" s="3"/>
      <c r="B97" s="3"/>
      <c r="C97" s="147"/>
      <c r="D97" s="147"/>
      <c r="E97" s="147"/>
      <c r="F97" s="147"/>
      <c r="G97" s="147"/>
      <c r="H97" s="149" t="s">
        <v>46</v>
      </c>
      <c r="I97" s="81"/>
      <c r="J97" s="81"/>
      <c r="K97" s="81"/>
      <c r="L97" s="86"/>
      <c r="M97" s="149" t="s">
        <v>47</v>
      </c>
      <c r="N97" s="81"/>
      <c r="O97" s="81"/>
      <c r="P97" s="81"/>
      <c r="Q97" s="86"/>
      <c r="R97" s="149" t="s">
        <v>46</v>
      </c>
      <c r="S97" s="81"/>
      <c r="T97" s="81"/>
      <c r="U97" s="81"/>
      <c r="V97" s="86"/>
      <c r="W97" s="149" t="s">
        <v>47</v>
      </c>
      <c r="X97" s="81"/>
      <c r="Y97" s="81"/>
      <c r="Z97" s="81"/>
      <c r="AA97" s="86"/>
      <c r="AB97" s="146" t="s">
        <v>46</v>
      </c>
      <c r="AC97" s="147"/>
      <c r="AD97" s="147"/>
      <c r="AE97" s="147"/>
      <c r="AF97" s="146" t="s">
        <v>47</v>
      </c>
      <c r="AG97" s="147"/>
      <c r="AH97" s="147"/>
      <c r="AI97" s="147"/>
      <c r="AJ97" s="146" t="s">
        <v>46</v>
      </c>
      <c r="AK97" s="147"/>
      <c r="AL97" s="147"/>
      <c r="AM97" s="147"/>
      <c r="AN97" s="146" t="s">
        <v>47</v>
      </c>
      <c r="AO97" s="147"/>
      <c r="AP97" s="147"/>
      <c r="AQ97" s="147"/>
      <c r="AR97" s="148"/>
      <c r="AS97" s="148"/>
      <c r="AT97" s="139"/>
    </row>
    <row r="98" spans="1:47" ht="18" customHeight="1">
      <c r="A98" s="3"/>
      <c r="B98" s="3"/>
      <c r="C98" s="150">
        <v>1</v>
      </c>
      <c r="D98" s="150"/>
      <c r="E98" s="150"/>
      <c r="F98" s="150"/>
      <c r="G98" s="150"/>
      <c r="H98" s="147">
        <f>M58</f>
        <v>-39.72230438727316</v>
      </c>
      <c r="I98" s="147"/>
      <c r="J98" s="147"/>
      <c r="K98" s="147"/>
      <c r="L98" s="147"/>
      <c r="M98" s="147">
        <f>M59</f>
        <v>46.145267823484346</v>
      </c>
      <c r="N98" s="147"/>
      <c r="O98" s="147"/>
      <c r="P98" s="147"/>
      <c r="Q98" s="147"/>
      <c r="R98" s="147">
        <f>IF(H98&gt;=0,H80,L92)</f>
        <v>157.867</v>
      </c>
      <c r="S98" s="147"/>
      <c r="T98" s="147"/>
      <c r="U98" s="147"/>
      <c r="V98" s="147"/>
      <c r="W98" s="147">
        <f>IF(M98&gt;=0,H80,L92)</f>
        <v>210</v>
      </c>
      <c r="X98" s="147"/>
      <c r="Y98" s="147"/>
      <c r="Z98" s="147"/>
      <c r="AA98" s="147"/>
      <c r="AB98" s="147">
        <f>(H98/R98)^2</f>
        <v>0.06331201824273337</v>
      </c>
      <c r="AC98" s="147"/>
      <c r="AD98" s="147"/>
      <c r="AE98" s="147"/>
      <c r="AF98" s="147">
        <f>(M98/W98)^2</f>
        <v>0.0482853909864195</v>
      </c>
      <c r="AG98" s="147"/>
      <c r="AH98" s="147"/>
      <c r="AI98" s="147"/>
      <c r="AJ98" s="147">
        <f>(H98/R98)^2+(Z68/AJ68)^2</f>
        <v>0.07841537358267894</v>
      </c>
      <c r="AK98" s="147"/>
      <c r="AL98" s="147"/>
      <c r="AM98" s="147"/>
      <c r="AN98" s="147">
        <f>(M98/W98)^2+(Z68/AJ68)^2</f>
        <v>0.06338874632636507</v>
      </c>
      <c r="AO98" s="147"/>
      <c r="AP98" s="147"/>
      <c r="AQ98" s="147"/>
      <c r="AR98" s="148"/>
      <c r="AS98" s="148"/>
      <c r="AT98" s="139"/>
      <c r="AU98" s="151"/>
    </row>
    <row r="99" spans="1:46" ht="18" customHeight="1">
      <c r="A99" s="3"/>
      <c r="B99" s="3"/>
      <c r="C99" s="150" t="s">
        <v>61</v>
      </c>
      <c r="D99" s="150"/>
      <c r="E99" s="150"/>
      <c r="F99" s="150"/>
      <c r="G99" s="150"/>
      <c r="H99" s="147">
        <f>M58+N63</f>
        <v>-63.494234199578</v>
      </c>
      <c r="I99" s="147"/>
      <c r="J99" s="147"/>
      <c r="K99" s="147"/>
      <c r="L99" s="147"/>
      <c r="M99" s="147">
        <f>M59+N64</f>
        <v>73.76103898255488</v>
      </c>
      <c r="N99" s="147"/>
      <c r="O99" s="147"/>
      <c r="P99" s="147"/>
      <c r="Q99" s="147"/>
      <c r="R99" s="147">
        <f>R98</f>
        <v>157.867</v>
      </c>
      <c r="S99" s="147"/>
      <c r="T99" s="147"/>
      <c r="U99" s="147"/>
      <c r="V99" s="147"/>
      <c r="W99" s="147">
        <f>W98</f>
        <v>210</v>
      </c>
      <c r="X99" s="147"/>
      <c r="Y99" s="147"/>
      <c r="Z99" s="147"/>
      <c r="AA99" s="147"/>
      <c r="AB99" s="147">
        <f>(H99/R99)^2</f>
        <v>0.16176548609881986</v>
      </c>
      <c r="AC99" s="147"/>
      <c r="AD99" s="147"/>
      <c r="AE99" s="147"/>
      <c r="AF99" s="147">
        <f>(M99/W99)^2</f>
        <v>0.12337167509718777</v>
      </c>
      <c r="AG99" s="147"/>
      <c r="AH99" s="147"/>
      <c r="AI99" s="147"/>
      <c r="AJ99" s="147">
        <f>(H99/R99)^2+(Z68/AJ68)^2</f>
        <v>0.17686884143876544</v>
      </c>
      <c r="AK99" s="147"/>
      <c r="AL99" s="147"/>
      <c r="AM99" s="147"/>
      <c r="AN99" s="147">
        <f>(M99/W99)^2+(Z68/AJ68)^2</f>
        <v>0.13847503043713336</v>
      </c>
      <c r="AO99" s="147"/>
      <c r="AP99" s="147"/>
      <c r="AQ99" s="147"/>
      <c r="AR99" s="148"/>
      <c r="AS99" s="148"/>
      <c r="AT99" s="139"/>
    </row>
    <row r="100" spans="1:45" ht="18" customHeight="1">
      <c r="A100" s="3"/>
      <c r="B100" s="3"/>
      <c r="C100" s="3" t="s">
        <v>48</v>
      </c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134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</row>
    <row r="101" spans="1:45" ht="18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</row>
    <row r="102" spans="1:45" ht="18" customHeight="1">
      <c r="A102" s="3"/>
      <c r="B102" s="3" t="s">
        <v>62</v>
      </c>
      <c r="C102" s="3"/>
      <c r="D102" s="3"/>
      <c r="E102" s="3"/>
      <c r="F102" s="3"/>
      <c r="G102" s="3"/>
      <c r="H102" s="3"/>
      <c r="I102" s="3"/>
      <c r="J102" s="3"/>
      <c r="K102" s="134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</row>
    <row r="103" spans="1:45" ht="18" customHeight="1">
      <c r="A103" s="3"/>
      <c r="B103" s="3"/>
      <c r="C103" s="3"/>
      <c r="D103" s="3"/>
      <c r="E103" s="3" t="s">
        <v>49</v>
      </c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</row>
    <row r="104" spans="1:45" ht="18" customHeight="1">
      <c r="A104" s="3"/>
      <c r="B104" s="3"/>
      <c r="C104" s="3"/>
      <c r="D104" s="3"/>
      <c r="E104" s="3"/>
      <c r="F104" s="152" t="s">
        <v>85</v>
      </c>
      <c r="G104" s="141" t="s">
        <v>97</v>
      </c>
      <c r="H104" s="141"/>
      <c r="I104" s="153">
        <v>0</v>
      </c>
      <c r="J104" s="33"/>
      <c r="K104" s="33"/>
      <c r="L104" s="33"/>
      <c r="M104" s="141" t="s">
        <v>98</v>
      </c>
      <c r="N104" s="141"/>
      <c r="O104" s="154">
        <v>0</v>
      </c>
      <c r="P104" s="33"/>
      <c r="Q104" s="33" t="s">
        <v>79</v>
      </c>
      <c r="R104" s="152" t="s">
        <v>85</v>
      </c>
      <c r="S104" s="141">
        <f>IF(AB98=R106,H98,IF(AB99=R106,H99,"ERROR"))</f>
        <v>-63.494234199578</v>
      </c>
      <c r="T104" s="141"/>
      <c r="U104" s="141"/>
      <c r="V104" s="141"/>
      <c r="W104" s="141"/>
      <c r="X104" s="154">
        <v>0</v>
      </c>
      <c r="Y104" s="33"/>
      <c r="Z104" s="33" t="s">
        <v>78</v>
      </c>
      <c r="AA104" s="152" t="s">
        <v>85</v>
      </c>
      <c r="AB104" s="141">
        <f>Z68</f>
        <v>14.747485104085248</v>
      </c>
      <c r="AC104" s="141"/>
      <c r="AD104" s="141"/>
      <c r="AE104" s="141"/>
      <c r="AF104" s="141"/>
      <c r="AG104" s="154">
        <v>0</v>
      </c>
      <c r="AH104" s="3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</row>
    <row r="105" spans="1:45" ht="18" customHeight="1">
      <c r="A105" s="3"/>
      <c r="B105" s="3"/>
      <c r="C105" s="3"/>
      <c r="D105" s="3"/>
      <c r="E105" s="3"/>
      <c r="F105" s="33"/>
      <c r="G105" s="144" t="s">
        <v>99</v>
      </c>
      <c r="H105" s="144"/>
      <c r="I105" s="33"/>
      <c r="J105" s="33"/>
      <c r="K105" s="33"/>
      <c r="L105" s="33"/>
      <c r="M105" s="144" t="s">
        <v>100</v>
      </c>
      <c r="N105" s="144"/>
      <c r="O105" s="33"/>
      <c r="P105" s="33"/>
      <c r="Q105" s="33"/>
      <c r="R105" s="33"/>
      <c r="S105" s="144">
        <f>IF(AB98=R106,R98,IF(AB99=R106,R99,"ERROR"))</f>
        <v>157.867</v>
      </c>
      <c r="T105" s="144"/>
      <c r="U105" s="144"/>
      <c r="V105" s="144"/>
      <c r="W105" s="144"/>
      <c r="X105" s="33"/>
      <c r="Y105" s="33"/>
      <c r="Z105" s="33"/>
      <c r="AA105" s="33"/>
      <c r="AB105" s="144">
        <f>AJ68</f>
        <v>120</v>
      </c>
      <c r="AC105" s="144"/>
      <c r="AD105" s="144"/>
      <c r="AE105" s="144"/>
      <c r="AF105" s="144"/>
      <c r="AG105" s="33"/>
      <c r="AH105" s="3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</row>
    <row r="106" spans="1:45" ht="18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 t="s">
        <v>79</v>
      </c>
      <c r="R106" s="33">
        <f>MAX(AB98:AB99)</f>
        <v>0.16176548609881986</v>
      </c>
      <c r="S106" s="33"/>
      <c r="T106" s="33"/>
      <c r="U106" s="33"/>
      <c r="V106" s="3" t="s">
        <v>78</v>
      </c>
      <c r="W106" s="33">
        <f>(Z68/AJ68)^2</f>
        <v>0.015103355339945574</v>
      </c>
      <c r="X106" s="33"/>
      <c r="Y106" s="33"/>
      <c r="Z106" s="33"/>
      <c r="AA106" s="3" t="s">
        <v>79</v>
      </c>
      <c r="AB106" s="33">
        <f>R106+W106</f>
        <v>0.17686884143876544</v>
      </c>
      <c r="AC106" s="33"/>
      <c r="AD106" s="33"/>
      <c r="AE106" s="33"/>
      <c r="AF106" s="3"/>
      <c r="AG106" s="3" t="str">
        <f>IF(AB106&gt;AI106,"＞","＜")</f>
        <v>＜</v>
      </c>
      <c r="AH106" s="3"/>
      <c r="AI106" s="126">
        <v>1.2</v>
      </c>
      <c r="AJ106" s="33"/>
      <c r="AK106" s="33"/>
      <c r="AL106" s="3"/>
      <c r="AM106" s="3" t="str">
        <f>IF(AB106&lt;AI106,"O.K.","N.G.")</f>
        <v>O.K.</v>
      </c>
      <c r="AN106" s="3"/>
      <c r="AO106" s="3"/>
      <c r="AP106" s="3"/>
      <c r="AQ106" s="3"/>
      <c r="AR106" s="3"/>
      <c r="AS106" s="3"/>
    </row>
    <row r="107" spans="1:45" ht="18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</row>
    <row r="108" spans="1:45" ht="18" customHeight="1">
      <c r="A108" s="3"/>
      <c r="B108" s="3"/>
      <c r="C108" s="3"/>
      <c r="D108" s="3"/>
      <c r="E108" s="3" t="s">
        <v>50</v>
      </c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</row>
    <row r="109" spans="1:45" ht="18" customHeight="1">
      <c r="A109" s="3"/>
      <c r="B109" s="3"/>
      <c r="C109" s="3"/>
      <c r="D109" s="3"/>
      <c r="E109" s="3"/>
      <c r="F109" s="152" t="s">
        <v>85</v>
      </c>
      <c r="G109" s="141" t="s">
        <v>97</v>
      </c>
      <c r="H109" s="141"/>
      <c r="I109" s="153">
        <v>0</v>
      </c>
      <c r="J109" s="33"/>
      <c r="K109" s="33"/>
      <c r="L109" s="33"/>
      <c r="M109" s="141" t="s">
        <v>98</v>
      </c>
      <c r="N109" s="141"/>
      <c r="O109" s="154">
        <v>0</v>
      </c>
      <c r="P109" s="33"/>
      <c r="Q109" s="33" t="s">
        <v>79</v>
      </c>
      <c r="R109" s="152" t="s">
        <v>85</v>
      </c>
      <c r="S109" s="141">
        <f>IF(AF98=R111,M98,IF(AF99=R111,M99,"ERROR"))</f>
        <v>73.76103898255488</v>
      </c>
      <c r="T109" s="141"/>
      <c r="U109" s="141"/>
      <c r="V109" s="141"/>
      <c r="W109" s="141"/>
      <c r="X109" s="154">
        <v>0</v>
      </c>
      <c r="Y109" s="33"/>
      <c r="Z109" s="33" t="s">
        <v>78</v>
      </c>
      <c r="AA109" s="152" t="s">
        <v>85</v>
      </c>
      <c r="AB109" s="141">
        <f>Z68</f>
        <v>14.747485104085248</v>
      </c>
      <c r="AC109" s="141"/>
      <c r="AD109" s="141"/>
      <c r="AE109" s="141"/>
      <c r="AF109" s="141"/>
      <c r="AG109" s="154">
        <v>0</v>
      </c>
      <c r="AH109" s="3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</row>
    <row r="110" spans="1:45" ht="18" customHeight="1">
      <c r="A110" s="3"/>
      <c r="B110" s="3"/>
      <c r="C110" s="3"/>
      <c r="D110" s="3"/>
      <c r="E110" s="3"/>
      <c r="F110" s="33"/>
      <c r="G110" s="144" t="s">
        <v>99</v>
      </c>
      <c r="H110" s="144"/>
      <c r="I110" s="33"/>
      <c r="J110" s="33"/>
      <c r="K110" s="33"/>
      <c r="L110" s="33"/>
      <c r="M110" s="144" t="s">
        <v>100</v>
      </c>
      <c r="N110" s="144"/>
      <c r="O110" s="33"/>
      <c r="P110" s="33"/>
      <c r="Q110" s="33"/>
      <c r="R110" s="33"/>
      <c r="S110" s="144">
        <f>IF(AF98=R111,W98,IF(AF99=R111,W99,"ERROR"))</f>
        <v>210</v>
      </c>
      <c r="T110" s="144"/>
      <c r="U110" s="144"/>
      <c r="V110" s="144"/>
      <c r="W110" s="144"/>
      <c r="X110" s="33"/>
      <c r="Y110" s="33"/>
      <c r="Z110" s="33"/>
      <c r="AA110" s="33"/>
      <c r="AB110" s="144">
        <f>AJ68</f>
        <v>120</v>
      </c>
      <c r="AC110" s="144"/>
      <c r="AD110" s="144"/>
      <c r="AE110" s="144"/>
      <c r="AF110" s="144"/>
      <c r="AG110" s="33"/>
      <c r="AH110" s="3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</row>
    <row r="111" spans="1:45" ht="18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 t="s">
        <v>79</v>
      </c>
      <c r="R111" s="33">
        <f>MAX(AF98:AF99)</f>
        <v>0.12337167509718777</v>
      </c>
      <c r="S111" s="33"/>
      <c r="T111" s="33"/>
      <c r="U111" s="33"/>
      <c r="V111" s="3" t="s">
        <v>78</v>
      </c>
      <c r="W111" s="33">
        <f>(Z68/AJ68)^2</f>
        <v>0.015103355339945574</v>
      </c>
      <c r="X111" s="33"/>
      <c r="Y111" s="33"/>
      <c r="Z111" s="33"/>
      <c r="AA111" s="3" t="s">
        <v>79</v>
      </c>
      <c r="AB111" s="33">
        <f>R111+W111</f>
        <v>0.13847503043713336</v>
      </c>
      <c r="AC111" s="33"/>
      <c r="AD111" s="33"/>
      <c r="AE111" s="33"/>
      <c r="AF111" s="3"/>
      <c r="AG111" s="3" t="str">
        <f>IF(AB111&gt;AI111,"＞","＜")</f>
        <v>＜</v>
      </c>
      <c r="AH111" s="3"/>
      <c r="AI111" s="126">
        <v>1.2</v>
      </c>
      <c r="AJ111" s="33"/>
      <c r="AK111" s="33"/>
      <c r="AL111" s="3"/>
      <c r="AM111" s="3" t="str">
        <f>IF(AB111&lt;AI111,"O.K.","N.G.")</f>
        <v>O.K.</v>
      </c>
      <c r="AN111" s="3"/>
      <c r="AO111" s="3"/>
      <c r="AP111" s="3"/>
      <c r="AQ111" s="3"/>
      <c r="AR111" s="3"/>
      <c r="AS111" s="3"/>
    </row>
    <row r="112" ht="18" customHeight="1">
      <c r="AU112" s="151"/>
    </row>
    <row r="113" spans="21:31" ht="18" customHeight="1"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</row>
    <row r="118" spans="1:25" ht="18" customHeight="1">
      <c r="A118" s="54" t="s">
        <v>153</v>
      </c>
      <c r="G118" s="55">
        <v>2</v>
      </c>
      <c r="H118" s="55"/>
      <c r="I118" s="53" t="s">
        <v>63</v>
      </c>
      <c r="K118" s="53" t="s">
        <v>109</v>
      </c>
      <c r="M118" s="55">
        <v>19</v>
      </c>
      <c r="N118" s="55"/>
      <c r="O118" s="53" t="s">
        <v>64</v>
      </c>
      <c r="V118" s="56">
        <v>0</v>
      </c>
      <c r="W118" s="56"/>
      <c r="X118" s="56"/>
      <c r="Y118" s="53" t="s">
        <v>65</v>
      </c>
    </row>
    <row r="119" spans="1:70" ht="18" customHeight="1">
      <c r="A119" s="57" t="s">
        <v>110</v>
      </c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 t="s">
        <v>111</v>
      </c>
      <c r="AA119" s="3"/>
      <c r="AB119" s="3"/>
      <c r="AC119" s="3"/>
      <c r="AD119" s="3"/>
      <c r="AE119" s="3"/>
      <c r="AF119" s="3"/>
      <c r="AG119" s="58" t="s">
        <v>11</v>
      </c>
      <c r="AH119" s="59"/>
      <c r="AI119" s="59"/>
      <c r="AJ119" s="59"/>
      <c r="AK119" s="60" t="s">
        <v>171</v>
      </c>
      <c r="AL119" s="3"/>
      <c r="AM119" s="3"/>
      <c r="AN119" s="3"/>
      <c r="AO119" s="3"/>
      <c r="AP119" s="3"/>
      <c r="AQ119" s="3"/>
      <c r="AU119" s="61"/>
      <c r="AX119" s="62"/>
      <c r="AY119" s="62"/>
      <c r="AZ119" s="62"/>
      <c r="BA119" s="62"/>
      <c r="BB119" s="62"/>
      <c r="BC119" s="62"/>
      <c r="BD119" s="62"/>
      <c r="BM119" s="62"/>
      <c r="BN119" s="62"/>
      <c r="BO119" s="62"/>
      <c r="BP119" s="62"/>
      <c r="BQ119" s="62"/>
      <c r="BR119" s="62"/>
    </row>
    <row r="120" spans="1:70" ht="18" customHeight="1">
      <c r="A120" s="3"/>
      <c r="B120" s="3"/>
      <c r="C120" s="3"/>
      <c r="D120" s="3"/>
      <c r="E120" s="63"/>
      <c r="F120" s="63"/>
      <c r="G120" s="63"/>
      <c r="H120" s="63"/>
      <c r="I120" s="63"/>
      <c r="J120" s="63"/>
      <c r="K120" s="63"/>
      <c r="M120" s="62"/>
      <c r="N120" s="62"/>
      <c r="O120" s="62"/>
      <c r="P120" s="62"/>
      <c r="Q120" s="62"/>
      <c r="R120" s="62"/>
      <c r="S120" s="62"/>
      <c r="T120" s="63"/>
      <c r="U120" s="63"/>
      <c r="V120" s="63"/>
      <c r="W120" s="63"/>
      <c r="X120" s="63"/>
      <c r="Y120" s="63"/>
      <c r="Z120" s="3"/>
      <c r="AA120" s="3"/>
      <c r="AB120" s="3"/>
      <c r="AC120" s="3"/>
      <c r="AD120" s="3"/>
      <c r="AX120" s="62"/>
      <c r="AY120" s="62"/>
      <c r="AZ120" s="62"/>
      <c r="BA120" s="62"/>
      <c r="BB120" s="62"/>
      <c r="BC120" s="62"/>
      <c r="BD120" s="62"/>
      <c r="BM120" s="62"/>
      <c r="BN120" s="62"/>
      <c r="BO120" s="62"/>
      <c r="BP120" s="62"/>
      <c r="BQ120" s="62"/>
      <c r="BR120" s="62"/>
    </row>
    <row r="121" spans="1:50" ht="18" customHeight="1">
      <c r="A121" s="3"/>
      <c r="B121" s="3"/>
      <c r="C121" s="3"/>
      <c r="D121" s="3"/>
      <c r="E121" s="63"/>
      <c r="F121" s="63"/>
      <c r="G121" s="63"/>
      <c r="L121" s="62"/>
      <c r="M121" s="62"/>
      <c r="N121" s="62"/>
      <c r="O121" s="62"/>
      <c r="P121" s="62"/>
      <c r="Q121" s="62"/>
      <c r="R121" s="62"/>
      <c r="S121" s="62"/>
      <c r="W121" s="62"/>
      <c r="X121" s="63"/>
      <c r="Y121" s="63"/>
      <c r="Z121" s="3"/>
      <c r="AA121" s="3"/>
      <c r="AB121" s="3"/>
      <c r="AC121" s="3"/>
      <c r="AD121" s="3"/>
      <c r="AE121" s="57" t="s">
        <v>66</v>
      </c>
      <c r="AF121" s="3"/>
      <c r="AG121" s="58">
        <v>2.6</v>
      </c>
      <c r="AH121" s="58"/>
      <c r="AI121" s="58"/>
      <c r="AJ121" s="3" t="s">
        <v>65</v>
      </c>
      <c r="AK121" s="3"/>
      <c r="AL121" s="3"/>
      <c r="AM121" s="3"/>
      <c r="AN121" s="3"/>
      <c r="AO121" s="3"/>
      <c r="AP121" s="3"/>
      <c r="AQ121" s="3"/>
      <c r="AX121" s="62"/>
    </row>
    <row r="122" spans="1:43" ht="18" customHeight="1">
      <c r="A122" s="3"/>
      <c r="B122" s="3"/>
      <c r="C122" s="3"/>
      <c r="D122" s="3"/>
      <c r="E122" s="3"/>
      <c r="F122" s="3"/>
      <c r="G122" s="3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3"/>
      <c r="X122" s="3"/>
      <c r="Y122" s="3"/>
      <c r="Z122" s="3"/>
      <c r="AA122" s="3"/>
      <c r="AB122" s="3"/>
      <c r="AC122" s="3"/>
      <c r="AD122" s="3"/>
      <c r="AE122" s="3" t="s">
        <v>112</v>
      </c>
      <c r="AF122" s="3"/>
      <c r="AG122" s="58">
        <v>1.2</v>
      </c>
      <c r="AH122" s="58"/>
      <c r="AI122" s="58"/>
      <c r="AJ122" s="3" t="s">
        <v>113</v>
      </c>
      <c r="AK122" s="3" t="s">
        <v>114</v>
      </c>
      <c r="AL122" s="3"/>
      <c r="AM122" s="58">
        <v>1.2</v>
      </c>
      <c r="AN122" s="58"/>
      <c r="AO122" s="58"/>
      <c r="AP122" s="3" t="s">
        <v>115</v>
      </c>
      <c r="AQ122" s="3"/>
    </row>
    <row r="123" spans="1:36" ht="18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C123" s="3"/>
      <c r="AD123" s="3"/>
      <c r="AE123" s="3" t="s">
        <v>116</v>
      </c>
      <c r="AF123" s="3"/>
      <c r="AG123" s="58">
        <v>2.1</v>
      </c>
      <c r="AH123" s="58"/>
      <c r="AI123" s="58"/>
      <c r="AJ123" s="3" t="s">
        <v>115</v>
      </c>
    </row>
    <row r="124" spans="1:43" ht="18" customHeight="1">
      <c r="A124" s="3"/>
      <c r="B124" s="3"/>
      <c r="C124" s="3"/>
      <c r="D124" s="3"/>
      <c r="E124" s="3"/>
      <c r="F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64"/>
      <c r="AC124" s="3"/>
      <c r="AD124" s="3"/>
      <c r="AE124" s="57" t="s">
        <v>51</v>
      </c>
      <c r="AK124" s="3"/>
      <c r="AL124" s="3"/>
      <c r="AM124" s="3"/>
      <c r="AN124" s="3"/>
      <c r="AO124" s="3"/>
      <c r="AP124" s="3"/>
      <c r="AQ124" s="3"/>
    </row>
    <row r="125" spans="1:43" ht="18" customHeight="1">
      <c r="A125" s="3"/>
      <c r="B125" s="3"/>
      <c r="C125" s="3"/>
      <c r="D125" s="3"/>
      <c r="E125" s="3"/>
      <c r="F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C125" s="3"/>
      <c r="AD125" s="3"/>
      <c r="AE125" s="57" t="s">
        <v>117</v>
      </c>
      <c r="AF125" s="3"/>
      <c r="AG125" s="33">
        <f>AG122+AM122+AG131*2</f>
        <v>2.6399999999999997</v>
      </c>
      <c r="AH125" s="33"/>
      <c r="AI125" s="33"/>
      <c r="AJ125" s="3" t="s">
        <v>113</v>
      </c>
      <c r="AK125" s="57" t="s">
        <v>118</v>
      </c>
      <c r="AL125" s="3"/>
      <c r="AM125" s="33">
        <f>AG123+AG132*2</f>
        <v>2.34</v>
      </c>
      <c r="AN125" s="33"/>
      <c r="AO125" s="33"/>
      <c r="AP125" s="3" t="s">
        <v>115</v>
      </c>
      <c r="AQ125" s="3"/>
    </row>
    <row r="126" spans="1:53" ht="18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65" t="str">
        <f>C147&amp;" - "&amp;AG133&amp;" x "&amp;AJ133</f>
        <v>5 - 150 x 14</v>
      </c>
      <c r="N126" s="65"/>
      <c r="O126" s="65"/>
      <c r="P126" s="65"/>
      <c r="Q126" s="65"/>
      <c r="R126" s="65"/>
      <c r="S126" s="3"/>
      <c r="T126" s="3"/>
      <c r="U126" s="3"/>
      <c r="V126" s="3"/>
      <c r="W126" s="3"/>
      <c r="X126" s="3"/>
      <c r="Y126" s="3"/>
      <c r="Z126" s="3"/>
      <c r="AA126" s="3"/>
      <c r="AC126" s="3"/>
      <c r="AD126" s="3"/>
      <c r="AE126" s="57" t="s">
        <v>119</v>
      </c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U126" s="3"/>
      <c r="AV126" s="3"/>
      <c r="AW126" s="3"/>
      <c r="AX126" s="3"/>
      <c r="AY126" s="3"/>
      <c r="AZ126" s="3"/>
      <c r="BA126" s="3"/>
    </row>
    <row r="127" spans="1:81" ht="18" customHeight="1">
      <c r="A127" s="3"/>
      <c r="B127" s="3"/>
      <c r="C127" s="3"/>
      <c r="D127" s="3"/>
      <c r="E127" s="3"/>
      <c r="F127" s="3"/>
      <c r="G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C127" s="3"/>
      <c r="AD127" s="3"/>
      <c r="AE127" s="57" t="s">
        <v>120</v>
      </c>
      <c r="AF127" s="3"/>
      <c r="AG127" s="58">
        <v>2.64</v>
      </c>
      <c r="AH127" s="58"/>
      <c r="AI127" s="58"/>
      <c r="AJ127" s="3" t="s">
        <v>113</v>
      </c>
      <c r="AK127" s="57" t="s">
        <v>121</v>
      </c>
      <c r="AL127" s="3"/>
      <c r="AM127" s="58">
        <v>2.34</v>
      </c>
      <c r="AN127" s="58"/>
      <c r="AO127" s="58"/>
      <c r="AP127" s="3" t="s">
        <v>115</v>
      </c>
      <c r="AQ127" s="3"/>
      <c r="AU127" s="3"/>
      <c r="AV127" s="3"/>
      <c r="AW127" s="3"/>
      <c r="AX127" s="3"/>
      <c r="AY127" s="3"/>
      <c r="AZ127" s="3"/>
      <c r="BA127" s="3"/>
      <c r="CA127" s="66"/>
      <c r="CB127" s="66"/>
      <c r="CC127" s="66"/>
    </row>
    <row r="128" spans="1:81" ht="18" customHeight="1">
      <c r="A128" s="3"/>
      <c r="B128" s="3"/>
      <c r="C128" s="3"/>
      <c r="D128" s="67" t="s">
        <v>154</v>
      </c>
      <c r="E128" s="67"/>
      <c r="F128" s="68">
        <f>DEGREES(ATAN((AG122-AG123/2)/AG121))</f>
        <v>3.301865674435001</v>
      </c>
      <c r="G128" s="68"/>
      <c r="H128" s="68"/>
      <c r="I128" s="69" t="s">
        <v>122</v>
      </c>
      <c r="J128" s="3"/>
      <c r="K128" s="3"/>
      <c r="L128" s="3"/>
      <c r="M128" s="3"/>
      <c r="N128" s="65" t="str">
        <f>C150&amp;" - "&amp;AN133&amp;" x "&amp;AQ133</f>
        <v>2 - 150 x 14</v>
      </c>
      <c r="O128" s="65"/>
      <c r="P128" s="65"/>
      <c r="Q128" s="65"/>
      <c r="R128" s="65"/>
      <c r="S128" s="65"/>
      <c r="T128" s="3"/>
      <c r="U128" s="3"/>
      <c r="V128" s="67" t="s">
        <v>155</v>
      </c>
      <c r="W128" s="67"/>
      <c r="X128" s="68">
        <f>DEGREES(ATAN((AM122-AG123/2)/AG121))</f>
        <v>3.301865674435001</v>
      </c>
      <c r="Y128" s="68"/>
      <c r="Z128" s="68"/>
      <c r="AA128" s="69" t="s">
        <v>122</v>
      </c>
      <c r="AB128" s="3"/>
      <c r="AC128" s="3"/>
      <c r="AD128" s="3"/>
      <c r="AE128" s="57" t="s">
        <v>67</v>
      </c>
      <c r="AF128" s="3"/>
      <c r="AG128" s="58">
        <v>0.015</v>
      </c>
      <c r="AH128" s="58"/>
      <c r="AI128" s="58"/>
      <c r="AJ128" s="3" t="s">
        <v>65</v>
      </c>
      <c r="AK128" s="3"/>
      <c r="AL128" s="3"/>
      <c r="AM128" s="3"/>
      <c r="AN128" s="3"/>
      <c r="AO128" s="3"/>
      <c r="AP128" s="3"/>
      <c r="AQ128" s="3"/>
      <c r="AU128" s="3"/>
      <c r="AV128" s="3"/>
      <c r="AW128" s="67"/>
      <c r="AX128" s="67"/>
      <c r="AY128" s="3"/>
      <c r="AZ128" s="3"/>
      <c r="BA128" s="3"/>
      <c r="CA128" s="66"/>
      <c r="CB128" s="66"/>
      <c r="CC128" s="66"/>
    </row>
    <row r="129" spans="1:81" ht="18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57" t="s">
        <v>68</v>
      </c>
      <c r="AF129" s="3"/>
      <c r="AG129" s="58">
        <v>0.015</v>
      </c>
      <c r="AH129" s="58"/>
      <c r="AI129" s="58"/>
      <c r="AJ129" s="3" t="s">
        <v>65</v>
      </c>
      <c r="AK129" s="3"/>
      <c r="AL129" s="3"/>
      <c r="AM129" s="3"/>
      <c r="AN129" s="3"/>
      <c r="AO129" s="3"/>
      <c r="AP129" s="3"/>
      <c r="AQ129" s="3"/>
      <c r="AU129" s="3"/>
      <c r="AV129" s="3"/>
      <c r="AW129" s="3"/>
      <c r="AX129" s="3"/>
      <c r="AY129" s="3"/>
      <c r="AZ129" s="3"/>
      <c r="BA129" s="3"/>
      <c r="CA129" s="66"/>
      <c r="CB129" s="66"/>
      <c r="CC129" s="66"/>
    </row>
    <row r="130" spans="1:81" ht="18" customHeight="1">
      <c r="A130" s="3"/>
      <c r="B130" s="3"/>
      <c r="C130" s="3"/>
      <c r="D130" s="3"/>
      <c r="E130" s="3"/>
      <c r="F130" s="3"/>
      <c r="G130" s="3"/>
      <c r="H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57" t="s">
        <v>69</v>
      </c>
      <c r="AF130" s="3"/>
      <c r="AG130" s="58">
        <v>0.01</v>
      </c>
      <c r="AH130" s="58"/>
      <c r="AI130" s="58"/>
      <c r="AJ130" s="3" t="s">
        <v>65</v>
      </c>
      <c r="AK130" s="3"/>
      <c r="AL130" s="3"/>
      <c r="AM130" s="3"/>
      <c r="AN130" s="3"/>
      <c r="AO130" s="3"/>
      <c r="AP130" s="3"/>
      <c r="AQ130" s="3"/>
      <c r="AU130" s="3"/>
      <c r="AV130" s="3"/>
      <c r="AW130" s="3"/>
      <c r="AX130" s="3"/>
      <c r="AY130" s="3"/>
      <c r="AZ130" s="3"/>
      <c r="BA130" s="3"/>
      <c r="CA130" s="66"/>
      <c r="CB130" s="66"/>
      <c r="CC130" s="66"/>
    </row>
    <row r="131" spans="1:81" ht="18" customHeight="1">
      <c r="A131" s="3"/>
      <c r="B131" s="3"/>
      <c r="E131" s="62"/>
      <c r="F131" s="62"/>
      <c r="G131" s="62"/>
      <c r="H131" s="62"/>
      <c r="I131" s="62"/>
      <c r="J131" s="70"/>
      <c r="K131" s="62"/>
      <c r="L131" s="62"/>
      <c r="M131" s="62"/>
      <c r="N131" s="62"/>
      <c r="O131" s="62"/>
      <c r="P131" s="62"/>
      <c r="Q131" s="62"/>
      <c r="R131" s="62"/>
      <c r="S131" s="62"/>
      <c r="T131" s="71"/>
      <c r="U131" s="62"/>
      <c r="V131" s="62"/>
      <c r="AD131" s="3"/>
      <c r="AE131" s="53" t="s">
        <v>123</v>
      </c>
      <c r="AG131" s="56">
        <v>0.12</v>
      </c>
      <c r="AH131" s="56"/>
      <c r="AI131" s="56"/>
      <c r="AJ131" s="53" t="s">
        <v>65</v>
      </c>
      <c r="AK131" s="3"/>
      <c r="AL131" s="3"/>
      <c r="AM131" s="3"/>
      <c r="AN131" s="3"/>
      <c r="AO131" s="3"/>
      <c r="AP131" s="3"/>
      <c r="AQ131" s="3"/>
      <c r="AU131" s="3"/>
      <c r="AV131" s="3"/>
      <c r="AW131" s="3"/>
      <c r="AX131" s="63"/>
      <c r="AY131" s="3"/>
      <c r="AZ131" s="3"/>
      <c r="BA131" s="3"/>
      <c r="CA131" s="66"/>
      <c r="CB131" s="66"/>
      <c r="CC131" s="66"/>
    </row>
    <row r="132" spans="5:50" ht="18" customHeight="1">
      <c r="E132" s="62"/>
      <c r="F132" s="62"/>
      <c r="G132" s="62"/>
      <c r="H132" s="62"/>
      <c r="I132" s="62"/>
      <c r="J132" s="62"/>
      <c r="K132" s="62"/>
      <c r="N132" s="62"/>
      <c r="O132" s="62"/>
      <c r="P132" s="62"/>
      <c r="Q132" s="62"/>
      <c r="R132" s="62"/>
      <c r="S132" s="62"/>
      <c r="T132" s="62"/>
      <c r="U132" s="62"/>
      <c r="V132" s="62"/>
      <c r="AE132" s="53" t="s">
        <v>124</v>
      </c>
      <c r="AG132" s="56">
        <v>0.12</v>
      </c>
      <c r="AH132" s="56"/>
      <c r="AI132" s="56"/>
      <c r="AJ132" s="53" t="s">
        <v>65</v>
      </c>
      <c r="AX132" s="62"/>
    </row>
    <row r="133" spans="31:45" ht="18" customHeight="1">
      <c r="AE133" s="53" t="s">
        <v>70</v>
      </c>
      <c r="AG133" s="55">
        <v>150</v>
      </c>
      <c r="AH133" s="55"/>
      <c r="AI133" s="72" t="s">
        <v>125</v>
      </c>
      <c r="AJ133" s="55">
        <v>14</v>
      </c>
      <c r="AK133" s="55"/>
      <c r="AL133" s="53" t="s">
        <v>71</v>
      </c>
      <c r="AM133" s="53" t="s">
        <v>113</v>
      </c>
      <c r="AN133" s="55">
        <v>150</v>
      </c>
      <c r="AO133" s="55"/>
      <c r="AP133" s="72" t="s">
        <v>125</v>
      </c>
      <c r="AQ133" s="55">
        <v>14</v>
      </c>
      <c r="AR133" s="55"/>
      <c r="AS133" s="53" t="s">
        <v>71</v>
      </c>
    </row>
    <row r="134" spans="33:83" ht="18" customHeight="1">
      <c r="AG134" s="73"/>
      <c r="AH134" s="73"/>
      <c r="AI134" s="72"/>
      <c r="AJ134" s="73"/>
      <c r="AK134" s="73"/>
      <c r="AN134" s="73"/>
      <c r="AO134" s="73"/>
      <c r="AP134" s="72"/>
      <c r="AQ134" s="73"/>
      <c r="AR134" s="73"/>
      <c r="CA134" s="73"/>
      <c r="CB134" s="72"/>
      <c r="CD134" s="73"/>
      <c r="CE134" s="72"/>
    </row>
    <row r="135" spans="4:38" ht="18" customHeight="1">
      <c r="D135" s="74" t="s">
        <v>126</v>
      </c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  <c r="AA135" s="75"/>
      <c r="AB135" s="76"/>
      <c r="AC135" s="74" t="s">
        <v>127</v>
      </c>
      <c r="AD135" s="31"/>
      <c r="AE135" s="31"/>
      <c r="AF135" s="32"/>
      <c r="AG135" s="77" t="s">
        <v>128</v>
      </c>
      <c r="AH135" s="75"/>
      <c r="AI135" s="75"/>
      <c r="AJ135" s="75"/>
      <c r="AK135" s="75"/>
      <c r="AL135" s="76"/>
    </row>
    <row r="136" spans="4:48" ht="18" customHeight="1">
      <c r="D136" s="78" t="s">
        <v>129</v>
      </c>
      <c r="E136" s="79"/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9"/>
      <c r="V136" s="79"/>
      <c r="W136" s="79"/>
      <c r="X136" s="79"/>
      <c r="Y136" s="79"/>
      <c r="Z136" s="79"/>
      <c r="AA136" s="79"/>
      <c r="AB136" s="80"/>
      <c r="AC136" s="81" t="s">
        <v>101</v>
      </c>
      <c r="AD136" s="81"/>
      <c r="AE136" s="81"/>
      <c r="AF136" s="81"/>
      <c r="AG136" s="82">
        <v>200000</v>
      </c>
      <c r="AH136" s="83"/>
      <c r="AI136" s="83"/>
      <c r="AJ136" s="83"/>
      <c r="AK136" s="83"/>
      <c r="AL136" s="84"/>
      <c r="AV136" s="61"/>
    </row>
    <row r="137" spans="4:48" ht="18" customHeight="1">
      <c r="D137" s="78" t="s">
        <v>52</v>
      </c>
      <c r="E137" s="79"/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79"/>
      <c r="V137" s="79"/>
      <c r="W137" s="79"/>
      <c r="X137" s="79"/>
      <c r="Y137" s="79"/>
      <c r="Z137" s="79"/>
      <c r="AA137" s="79"/>
      <c r="AB137" s="80"/>
      <c r="AC137" s="85" t="s">
        <v>130</v>
      </c>
      <c r="AD137" s="81"/>
      <c r="AE137" s="81"/>
      <c r="AF137" s="86"/>
      <c r="AG137" s="87">
        <v>5284.301</v>
      </c>
      <c r="AH137" s="88"/>
      <c r="AI137" s="88"/>
      <c r="AJ137" s="88"/>
      <c r="AK137" s="88"/>
      <c r="AL137" s="89"/>
      <c r="AV137" s="61"/>
    </row>
    <row r="138" spans="4:48" ht="18" customHeight="1">
      <c r="D138" s="78" t="s">
        <v>102</v>
      </c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  <c r="W138" s="79"/>
      <c r="X138" s="79"/>
      <c r="Y138" s="79"/>
      <c r="Z138" s="79"/>
      <c r="AA138" s="79"/>
      <c r="AB138" s="80"/>
      <c r="AC138" s="85" t="s">
        <v>130</v>
      </c>
      <c r="AD138" s="81"/>
      <c r="AE138" s="81"/>
      <c r="AF138" s="86"/>
      <c r="AG138" s="87">
        <v>3485.888</v>
      </c>
      <c r="AH138" s="88"/>
      <c r="AI138" s="88"/>
      <c r="AJ138" s="88"/>
      <c r="AK138" s="88"/>
      <c r="AL138" s="89"/>
      <c r="AV138" s="61"/>
    </row>
    <row r="139" spans="4:48" ht="18" customHeight="1">
      <c r="D139" s="78" t="s">
        <v>53</v>
      </c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79"/>
      <c r="W139" s="79"/>
      <c r="X139" s="79"/>
      <c r="Y139" s="79"/>
      <c r="Z139" s="79"/>
      <c r="AA139" s="79"/>
      <c r="AB139" s="80"/>
      <c r="AC139" s="85" t="s">
        <v>131</v>
      </c>
      <c r="AD139" s="81"/>
      <c r="AE139" s="81"/>
      <c r="AF139" s="86"/>
      <c r="AG139" s="87">
        <v>-105.555</v>
      </c>
      <c r="AH139" s="88"/>
      <c r="AI139" s="88"/>
      <c r="AJ139" s="88"/>
      <c r="AK139" s="88"/>
      <c r="AL139" s="89"/>
      <c r="AV139" s="61"/>
    </row>
    <row r="140" spans="4:48" ht="18" customHeight="1">
      <c r="D140" s="78" t="s">
        <v>103</v>
      </c>
      <c r="E140" s="79"/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79"/>
      <c r="W140" s="79"/>
      <c r="X140" s="79"/>
      <c r="Y140" s="79"/>
      <c r="Z140" s="79"/>
      <c r="AA140" s="79"/>
      <c r="AB140" s="80"/>
      <c r="AC140" s="85" t="s">
        <v>131</v>
      </c>
      <c r="AD140" s="81"/>
      <c r="AE140" s="81"/>
      <c r="AF140" s="86"/>
      <c r="AG140" s="87">
        <v>-286.517</v>
      </c>
      <c r="AH140" s="88"/>
      <c r="AI140" s="88"/>
      <c r="AJ140" s="88"/>
      <c r="AK140" s="88"/>
      <c r="AL140" s="89"/>
      <c r="AV140" s="61"/>
    </row>
    <row r="141" spans="4:48" ht="18" customHeight="1">
      <c r="D141" s="78" t="s">
        <v>54</v>
      </c>
      <c r="E141" s="79"/>
      <c r="F141" s="79"/>
      <c r="G141" s="79"/>
      <c r="H141" s="79"/>
      <c r="I141" s="79"/>
      <c r="J141" s="79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79"/>
      <c r="W141" s="79"/>
      <c r="X141" s="79"/>
      <c r="Y141" s="79"/>
      <c r="Z141" s="79"/>
      <c r="AA141" s="79"/>
      <c r="AB141" s="80"/>
      <c r="AC141" s="85" t="s">
        <v>130</v>
      </c>
      <c r="AD141" s="81"/>
      <c r="AE141" s="81"/>
      <c r="AF141" s="86"/>
      <c r="AG141" s="87">
        <v>-265.769</v>
      </c>
      <c r="AH141" s="88"/>
      <c r="AI141" s="88"/>
      <c r="AJ141" s="88"/>
      <c r="AK141" s="88"/>
      <c r="AL141" s="89"/>
      <c r="AV141" s="61"/>
    </row>
    <row r="142" spans="4:48" ht="18" customHeight="1">
      <c r="D142" s="78" t="s">
        <v>104</v>
      </c>
      <c r="E142" s="79"/>
      <c r="F142" s="79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  <c r="V142" s="79"/>
      <c r="W142" s="79"/>
      <c r="X142" s="79"/>
      <c r="Y142" s="79"/>
      <c r="Z142" s="79"/>
      <c r="AA142" s="79"/>
      <c r="AB142" s="80"/>
      <c r="AC142" s="85" t="s">
        <v>130</v>
      </c>
      <c r="AD142" s="81"/>
      <c r="AE142" s="81"/>
      <c r="AF142" s="86"/>
      <c r="AG142" s="87">
        <v>-322.62</v>
      </c>
      <c r="AH142" s="88"/>
      <c r="AI142" s="88"/>
      <c r="AJ142" s="88"/>
      <c r="AK142" s="88"/>
      <c r="AL142" s="89"/>
      <c r="AV142" s="61"/>
    </row>
    <row r="144" ht="18" customHeight="1">
      <c r="D144" s="53" t="s">
        <v>132</v>
      </c>
    </row>
    <row r="145" spans="3:41" ht="18" customHeight="1">
      <c r="C145" s="74" t="s">
        <v>133</v>
      </c>
      <c r="D145" s="75"/>
      <c r="E145" s="75"/>
      <c r="F145" s="75"/>
      <c r="G145" s="75"/>
      <c r="H145" s="75"/>
      <c r="I145" s="75"/>
      <c r="J145" s="76"/>
      <c r="K145" s="77" t="s">
        <v>134</v>
      </c>
      <c r="L145" s="75"/>
      <c r="M145" s="76"/>
      <c r="N145" s="77" t="s">
        <v>135</v>
      </c>
      <c r="O145" s="75"/>
      <c r="P145" s="76"/>
      <c r="Q145" s="77" t="s">
        <v>136</v>
      </c>
      <c r="R145" s="75"/>
      <c r="S145" s="75"/>
      <c r="T145" s="76"/>
      <c r="U145" s="77" t="s">
        <v>137</v>
      </c>
      <c r="V145" s="75"/>
      <c r="W145" s="75"/>
      <c r="X145" s="76"/>
      <c r="Y145" s="77" t="s">
        <v>138</v>
      </c>
      <c r="Z145" s="75"/>
      <c r="AA145" s="75"/>
      <c r="AB145" s="75"/>
      <c r="AC145" s="76"/>
      <c r="AD145" s="77" t="s">
        <v>156</v>
      </c>
      <c r="AE145" s="75"/>
      <c r="AF145" s="75"/>
      <c r="AG145" s="75"/>
      <c r="AH145" s="75"/>
      <c r="AI145" s="76"/>
      <c r="AJ145" s="77" t="s">
        <v>157</v>
      </c>
      <c r="AK145" s="75"/>
      <c r="AL145" s="75"/>
      <c r="AM145" s="75"/>
      <c r="AN145" s="75"/>
      <c r="AO145" s="76"/>
    </row>
    <row r="146" spans="3:50" ht="18" customHeight="1">
      <c r="C146" s="90">
        <v>1</v>
      </c>
      <c r="D146" s="79" t="s">
        <v>72</v>
      </c>
      <c r="E146" s="79" t="s">
        <v>73</v>
      </c>
      <c r="F146" s="79"/>
      <c r="G146" s="79"/>
      <c r="H146" s="79"/>
      <c r="I146" s="79"/>
      <c r="J146" s="80"/>
      <c r="K146" s="91">
        <f>AG127*1000</f>
        <v>2640</v>
      </c>
      <c r="L146" s="92"/>
      <c r="M146" s="93"/>
      <c r="N146" s="91">
        <f>AG128*1000</f>
        <v>15</v>
      </c>
      <c r="O146" s="92"/>
      <c r="P146" s="93"/>
      <c r="Q146" s="94">
        <f aca="true" t="shared" si="3" ref="Q146:Q151">C146*K146*N146</f>
        <v>39600</v>
      </c>
      <c r="R146" s="95"/>
      <c r="S146" s="95"/>
      <c r="T146" s="96"/>
      <c r="U146" s="97">
        <f>-(N146+AG121*1000)/2</f>
        <v>-1307.5</v>
      </c>
      <c r="V146" s="98"/>
      <c r="W146" s="98"/>
      <c r="X146" s="99"/>
      <c r="Y146" s="94">
        <f aca="true" t="shared" si="4" ref="Y146:Y151">Q146*U146</f>
        <v>-51777000</v>
      </c>
      <c r="Z146" s="95"/>
      <c r="AA146" s="95"/>
      <c r="AB146" s="95"/>
      <c r="AC146" s="96"/>
      <c r="AD146" s="94">
        <f aca="true" t="shared" si="5" ref="AD146:AD151">U146*Y146</f>
        <v>67698427500</v>
      </c>
      <c r="AE146" s="95"/>
      <c r="AF146" s="95"/>
      <c r="AG146" s="95"/>
      <c r="AH146" s="95"/>
      <c r="AI146" s="96"/>
      <c r="AJ146" s="94">
        <f>C146*K146*POWER(N146,3)/12</f>
        <v>742500</v>
      </c>
      <c r="AK146" s="95"/>
      <c r="AL146" s="95"/>
      <c r="AM146" s="95"/>
      <c r="AN146" s="95"/>
      <c r="AO146" s="96"/>
      <c r="AS146" s="3"/>
      <c r="AT146" s="3"/>
      <c r="AU146" s="3"/>
      <c r="AV146" s="100"/>
      <c r="AW146" s="3"/>
      <c r="AX146" s="3"/>
    </row>
    <row r="147" spans="3:50" ht="18" customHeight="1">
      <c r="C147" s="101">
        <v>5</v>
      </c>
      <c r="D147" s="79" t="s">
        <v>72</v>
      </c>
      <c r="E147" s="79" t="s">
        <v>74</v>
      </c>
      <c r="F147" s="79"/>
      <c r="G147" s="79"/>
      <c r="H147" s="79"/>
      <c r="I147" s="79"/>
      <c r="J147" s="80"/>
      <c r="K147" s="91">
        <f>AJ133</f>
        <v>14</v>
      </c>
      <c r="L147" s="92"/>
      <c r="M147" s="93"/>
      <c r="N147" s="91">
        <f>AG133</f>
        <v>150</v>
      </c>
      <c r="O147" s="92"/>
      <c r="P147" s="93"/>
      <c r="Q147" s="94">
        <f t="shared" si="3"/>
        <v>10500</v>
      </c>
      <c r="R147" s="95"/>
      <c r="S147" s="95"/>
      <c r="T147" s="96"/>
      <c r="U147" s="97">
        <f>-(AG121*1000-N147)/2</f>
        <v>-1225</v>
      </c>
      <c r="V147" s="98"/>
      <c r="W147" s="98"/>
      <c r="X147" s="99"/>
      <c r="Y147" s="94">
        <f t="shared" si="4"/>
        <v>-12862500</v>
      </c>
      <c r="Z147" s="95"/>
      <c r="AA147" s="95"/>
      <c r="AB147" s="95"/>
      <c r="AC147" s="96"/>
      <c r="AD147" s="94">
        <f t="shared" si="5"/>
        <v>15756562500</v>
      </c>
      <c r="AE147" s="95"/>
      <c r="AF147" s="95"/>
      <c r="AG147" s="95"/>
      <c r="AH147" s="95"/>
      <c r="AI147" s="96"/>
      <c r="AJ147" s="94">
        <f>C147*K147*POWER(N147,3)/12</f>
        <v>19687500</v>
      </c>
      <c r="AK147" s="95"/>
      <c r="AL147" s="95"/>
      <c r="AM147" s="95"/>
      <c r="AN147" s="95"/>
      <c r="AO147" s="96"/>
      <c r="AS147" s="3"/>
      <c r="AT147" s="3"/>
      <c r="AU147" s="3"/>
      <c r="AV147" s="3"/>
      <c r="AW147" s="3"/>
      <c r="AX147" s="3"/>
    </row>
    <row r="148" spans="3:50" ht="18" customHeight="1">
      <c r="C148" s="102">
        <v>1</v>
      </c>
      <c r="D148" s="103" t="s">
        <v>72</v>
      </c>
      <c r="E148" s="103" t="s">
        <v>139</v>
      </c>
      <c r="F148" s="103"/>
      <c r="G148" s="103"/>
      <c r="H148" s="103"/>
      <c r="I148" s="103"/>
      <c r="J148" s="104"/>
      <c r="K148" s="97">
        <f>AG130*1000</f>
        <v>10</v>
      </c>
      <c r="L148" s="81"/>
      <c r="M148" s="86"/>
      <c r="N148" s="97">
        <f>AG121/COS(RADIANS(F128))*1000</f>
        <v>2604.3233286210834</v>
      </c>
      <c r="O148" s="81"/>
      <c r="P148" s="86"/>
      <c r="Q148" s="105">
        <f t="shared" si="3"/>
        <v>26043.233286210834</v>
      </c>
      <c r="R148" s="106"/>
      <c r="S148" s="106"/>
      <c r="T148" s="107"/>
      <c r="U148" s="97">
        <v>0</v>
      </c>
      <c r="V148" s="98"/>
      <c r="W148" s="98"/>
      <c r="X148" s="99"/>
      <c r="Y148" s="108">
        <f t="shared" si="4"/>
        <v>0</v>
      </c>
      <c r="Z148" s="109"/>
      <c r="AA148" s="109"/>
      <c r="AB148" s="109"/>
      <c r="AC148" s="110"/>
      <c r="AD148" s="108">
        <f t="shared" si="5"/>
        <v>0</v>
      </c>
      <c r="AE148" s="109"/>
      <c r="AF148" s="109"/>
      <c r="AG148" s="109"/>
      <c r="AH148" s="109"/>
      <c r="AI148" s="110"/>
      <c r="AJ148" s="108">
        <f>C149*K149*N149/12*((N149*COS(RADIANS(F128)))^2+(K149*SIN(RADIANS(F128)))^2)</f>
        <v>14671022137.85546</v>
      </c>
      <c r="AK148" s="109"/>
      <c r="AL148" s="109"/>
      <c r="AM148" s="109"/>
      <c r="AN148" s="109"/>
      <c r="AO148" s="110"/>
      <c r="AS148" s="3"/>
      <c r="AT148" s="3"/>
      <c r="AU148" s="3"/>
      <c r="AV148" s="3"/>
      <c r="AW148" s="3"/>
      <c r="AX148" s="3"/>
    </row>
    <row r="149" spans="3:50" ht="18" customHeight="1">
      <c r="C149" s="102">
        <v>1</v>
      </c>
      <c r="D149" s="103" t="s">
        <v>72</v>
      </c>
      <c r="E149" s="103" t="s">
        <v>140</v>
      </c>
      <c r="F149" s="103"/>
      <c r="G149" s="103"/>
      <c r="H149" s="103"/>
      <c r="I149" s="103"/>
      <c r="J149" s="104"/>
      <c r="K149" s="97">
        <f>AG130*1000</f>
        <v>10</v>
      </c>
      <c r="L149" s="81"/>
      <c r="M149" s="86"/>
      <c r="N149" s="97">
        <f>AG121/COS(RADIANS(X128))*1000</f>
        <v>2604.3233286210834</v>
      </c>
      <c r="O149" s="81"/>
      <c r="P149" s="86"/>
      <c r="Q149" s="105">
        <f t="shared" si="3"/>
        <v>26043.233286210834</v>
      </c>
      <c r="R149" s="106"/>
      <c r="S149" s="106"/>
      <c r="T149" s="107"/>
      <c r="U149" s="97">
        <v>0</v>
      </c>
      <c r="V149" s="98"/>
      <c r="W149" s="98"/>
      <c r="X149" s="99"/>
      <c r="Y149" s="108">
        <f t="shared" si="4"/>
        <v>0</v>
      </c>
      <c r="Z149" s="109"/>
      <c r="AA149" s="109"/>
      <c r="AB149" s="109"/>
      <c r="AC149" s="110"/>
      <c r="AD149" s="108">
        <f t="shared" si="5"/>
        <v>0</v>
      </c>
      <c r="AE149" s="109"/>
      <c r="AF149" s="109"/>
      <c r="AG149" s="109"/>
      <c r="AH149" s="109"/>
      <c r="AI149" s="110"/>
      <c r="AJ149" s="108">
        <f>C149*K149*N149/12*((N149*COS(RADIANS(X128)))^2+(K149*SIN(RADIANS(X128)))^2)</f>
        <v>14671022137.85546</v>
      </c>
      <c r="AK149" s="109"/>
      <c r="AL149" s="109"/>
      <c r="AM149" s="109"/>
      <c r="AN149" s="109"/>
      <c r="AO149" s="110"/>
      <c r="AS149" s="3"/>
      <c r="AT149" s="3"/>
      <c r="AU149" s="3"/>
      <c r="AV149" s="3"/>
      <c r="AW149" s="3"/>
      <c r="AX149" s="3"/>
    </row>
    <row r="150" spans="3:41" ht="18" customHeight="1">
      <c r="C150" s="101">
        <v>2</v>
      </c>
      <c r="D150" s="79" t="s">
        <v>72</v>
      </c>
      <c r="E150" s="79" t="s">
        <v>75</v>
      </c>
      <c r="F150" s="79"/>
      <c r="G150" s="79"/>
      <c r="H150" s="79"/>
      <c r="I150" s="79"/>
      <c r="J150" s="80"/>
      <c r="K150" s="91">
        <f>AQ133</f>
        <v>14</v>
      </c>
      <c r="L150" s="92"/>
      <c r="M150" s="93"/>
      <c r="N150" s="91">
        <f>AN133</f>
        <v>150</v>
      </c>
      <c r="O150" s="92"/>
      <c r="P150" s="93"/>
      <c r="Q150" s="94">
        <f t="shared" si="3"/>
        <v>4200</v>
      </c>
      <c r="R150" s="95"/>
      <c r="S150" s="95"/>
      <c r="T150" s="96"/>
      <c r="U150" s="97">
        <f>(AG121*1000-N150)/2</f>
        <v>1225</v>
      </c>
      <c r="V150" s="98"/>
      <c r="W150" s="98"/>
      <c r="X150" s="99"/>
      <c r="Y150" s="94">
        <f t="shared" si="4"/>
        <v>5145000</v>
      </c>
      <c r="Z150" s="95"/>
      <c r="AA150" s="95"/>
      <c r="AB150" s="95"/>
      <c r="AC150" s="96"/>
      <c r="AD150" s="94">
        <f t="shared" si="5"/>
        <v>6302625000</v>
      </c>
      <c r="AE150" s="95"/>
      <c r="AF150" s="95"/>
      <c r="AG150" s="95"/>
      <c r="AH150" s="95"/>
      <c r="AI150" s="96"/>
      <c r="AJ150" s="94">
        <f>C150*K150*POWER(N150,3)/12</f>
        <v>7875000</v>
      </c>
      <c r="AK150" s="95"/>
      <c r="AL150" s="95"/>
      <c r="AM150" s="95"/>
      <c r="AN150" s="95"/>
      <c r="AO150" s="96"/>
    </row>
    <row r="151" spans="3:41" ht="18" customHeight="1">
      <c r="C151" s="90">
        <v>1</v>
      </c>
      <c r="D151" s="79" t="s">
        <v>72</v>
      </c>
      <c r="E151" s="79" t="s">
        <v>76</v>
      </c>
      <c r="F151" s="79"/>
      <c r="G151" s="79"/>
      <c r="H151" s="79"/>
      <c r="I151" s="79"/>
      <c r="J151" s="80"/>
      <c r="K151" s="91">
        <f>AM127*1000</f>
        <v>2340</v>
      </c>
      <c r="L151" s="92"/>
      <c r="M151" s="93"/>
      <c r="N151" s="91">
        <f>AG129*1000</f>
        <v>15</v>
      </c>
      <c r="O151" s="92"/>
      <c r="P151" s="93"/>
      <c r="Q151" s="94">
        <f t="shared" si="3"/>
        <v>35100</v>
      </c>
      <c r="R151" s="95"/>
      <c r="S151" s="95"/>
      <c r="T151" s="96"/>
      <c r="U151" s="97">
        <f>(N151+AG121*1000)/2</f>
        <v>1307.5</v>
      </c>
      <c r="V151" s="98"/>
      <c r="W151" s="98"/>
      <c r="X151" s="99"/>
      <c r="Y151" s="94">
        <f t="shared" si="4"/>
        <v>45893250</v>
      </c>
      <c r="Z151" s="95"/>
      <c r="AA151" s="95"/>
      <c r="AB151" s="95"/>
      <c r="AC151" s="96"/>
      <c r="AD151" s="94">
        <f t="shared" si="5"/>
        <v>60005424375</v>
      </c>
      <c r="AE151" s="95"/>
      <c r="AF151" s="95"/>
      <c r="AG151" s="95"/>
      <c r="AH151" s="95"/>
      <c r="AI151" s="96"/>
      <c r="AJ151" s="94">
        <f>C151*K151*POWER(N151,3)/12</f>
        <v>658125</v>
      </c>
      <c r="AK151" s="95"/>
      <c r="AL151" s="95"/>
      <c r="AM151" s="95"/>
      <c r="AN151" s="95"/>
      <c r="AO151" s="96"/>
    </row>
    <row r="152" spans="3:41" ht="18" customHeight="1">
      <c r="C152" s="111" t="s">
        <v>141</v>
      </c>
      <c r="D152" s="92"/>
      <c r="E152" s="92"/>
      <c r="F152" s="92"/>
      <c r="G152" s="92"/>
      <c r="H152" s="92"/>
      <c r="I152" s="92"/>
      <c r="J152" s="93"/>
      <c r="K152" s="78"/>
      <c r="L152" s="79"/>
      <c r="M152" s="80"/>
      <c r="N152" s="78"/>
      <c r="O152" s="79"/>
      <c r="P152" s="80"/>
      <c r="Q152" s="112">
        <f>SUM(Q146:Q151)</f>
        <v>141486.46657242166</v>
      </c>
      <c r="R152" s="113"/>
      <c r="S152" s="113"/>
      <c r="T152" s="114"/>
      <c r="U152" s="115"/>
      <c r="V152" s="116"/>
      <c r="W152" s="116"/>
      <c r="X152" s="117"/>
      <c r="Y152" s="94">
        <f>SUM(Y146:Y151)</f>
        <v>-13601250</v>
      </c>
      <c r="Z152" s="95"/>
      <c r="AA152" s="95"/>
      <c r="AB152" s="95"/>
      <c r="AC152" s="96"/>
      <c r="AD152" s="94">
        <f>SUM(AD146:AD151)</f>
        <v>149763039375</v>
      </c>
      <c r="AE152" s="95"/>
      <c r="AF152" s="95"/>
      <c r="AG152" s="95"/>
      <c r="AH152" s="95"/>
      <c r="AI152" s="96"/>
      <c r="AJ152" s="94">
        <f>SUM(AJ146:AJ151)</f>
        <v>29371007400.71092</v>
      </c>
      <c r="AK152" s="95"/>
      <c r="AL152" s="95"/>
      <c r="AM152" s="95"/>
      <c r="AN152" s="95"/>
      <c r="AO152" s="96"/>
    </row>
    <row r="153" spans="7:20" ht="18" customHeight="1">
      <c r="G153" s="118"/>
      <c r="H153" s="118"/>
      <c r="I153" s="118"/>
      <c r="J153" s="118"/>
      <c r="K153" s="3"/>
      <c r="P153" s="119"/>
      <c r="Q153" s="119"/>
      <c r="R153" s="119"/>
      <c r="S153" s="119"/>
      <c r="T153" s="3"/>
    </row>
    <row r="154" spans="7:20" ht="18" customHeight="1">
      <c r="G154" s="118"/>
      <c r="H154" s="118"/>
      <c r="I154" s="118"/>
      <c r="J154" s="118"/>
      <c r="K154" s="3"/>
      <c r="P154" s="119"/>
      <c r="Q154" s="119"/>
      <c r="R154" s="119"/>
      <c r="S154" s="119"/>
      <c r="T154" s="3"/>
    </row>
    <row r="155" ht="18" customHeight="1">
      <c r="A155" s="120" t="s">
        <v>143</v>
      </c>
    </row>
    <row r="166" ht="18" customHeight="1">
      <c r="B166" s="53" t="s">
        <v>144</v>
      </c>
    </row>
    <row r="167" spans="3:32" ht="18" customHeight="1">
      <c r="C167" s="53" t="s">
        <v>77</v>
      </c>
      <c r="L167" s="121">
        <f>AD152</f>
        <v>149763039375</v>
      </c>
      <c r="M167" s="121"/>
      <c r="N167" s="121"/>
      <c r="O167" s="121"/>
      <c r="P167" s="121"/>
      <c r="Q167" s="53" t="s">
        <v>78</v>
      </c>
      <c r="R167" s="122">
        <f>AJ152</f>
        <v>29371007400.71092</v>
      </c>
      <c r="S167" s="122"/>
      <c r="T167" s="122"/>
      <c r="U167" s="122"/>
      <c r="V167" s="122"/>
      <c r="W167" s="122"/>
      <c r="X167" s="122"/>
      <c r="Y167" s="53" t="s">
        <v>79</v>
      </c>
      <c r="Z167" s="121">
        <f>L167+R167</f>
        <v>179134046775.7109</v>
      </c>
      <c r="AA167" s="121"/>
      <c r="AB167" s="121"/>
      <c r="AC167" s="121"/>
      <c r="AD167" s="121"/>
      <c r="AE167" s="121"/>
      <c r="AF167" s="1" t="s">
        <v>158</v>
      </c>
    </row>
    <row r="168" spans="3:30" ht="18" customHeight="1">
      <c r="C168" s="53" t="s">
        <v>80</v>
      </c>
      <c r="L168" s="121">
        <f>Y152</f>
        <v>-13601250</v>
      </c>
      <c r="M168" s="121"/>
      <c r="N168" s="121"/>
      <c r="O168" s="121"/>
      <c r="P168" s="121"/>
      <c r="Q168" s="53" t="s">
        <v>81</v>
      </c>
      <c r="R168" s="121">
        <f>Q152</f>
        <v>141486.46657242166</v>
      </c>
      <c r="S168" s="121"/>
      <c r="T168" s="121"/>
      <c r="U168" s="121"/>
      <c r="V168" s="121"/>
      <c r="W168" s="53" t="s">
        <v>79</v>
      </c>
      <c r="X168" s="123">
        <f>L168/R168</f>
        <v>-96.1311023555601</v>
      </c>
      <c r="Y168" s="123"/>
      <c r="Z168" s="123"/>
      <c r="AA168" s="123"/>
      <c r="AB168" s="123"/>
      <c r="AC168" s="123"/>
      <c r="AD168" s="2" t="s">
        <v>145</v>
      </c>
    </row>
    <row r="169" spans="2:43" ht="18" customHeight="1">
      <c r="B169" s="3"/>
      <c r="C169" s="3" t="s">
        <v>82</v>
      </c>
      <c r="D169" s="3"/>
      <c r="E169" s="3"/>
      <c r="F169" s="3"/>
      <c r="G169" s="3"/>
      <c r="H169" s="3"/>
      <c r="I169" s="3"/>
      <c r="J169" s="3"/>
      <c r="K169" s="3"/>
      <c r="L169" s="124">
        <f>Z167</f>
        <v>179134046775.7109</v>
      </c>
      <c r="M169" s="124"/>
      <c r="N169" s="124"/>
      <c r="O169" s="124"/>
      <c r="P169" s="124"/>
      <c r="Q169" s="3" t="s">
        <v>72</v>
      </c>
      <c r="R169" s="124">
        <f>Q152</f>
        <v>141486.46657242166</v>
      </c>
      <c r="S169" s="124"/>
      <c r="T169" s="124"/>
      <c r="U169" s="124"/>
      <c r="V169" s="124"/>
      <c r="W169" s="3" t="s">
        <v>83</v>
      </c>
      <c r="X169" s="125">
        <f>X168</f>
        <v>-96.1311023555601</v>
      </c>
      <c r="Y169" s="33"/>
      <c r="Z169" s="33"/>
      <c r="AA169" s="33"/>
      <c r="AB169" s="33"/>
      <c r="AC169" s="3" t="s">
        <v>79</v>
      </c>
      <c r="AD169" s="124">
        <f>L169-R169*X169^2</f>
        <v>177826543619.79733</v>
      </c>
      <c r="AE169" s="124"/>
      <c r="AF169" s="124"/>
      <c r="AG169" s="124"/>
      <c r="AH169" s="124"/>
      <c r="AI169" s="124"/>
      <c r="AJ169" s="1" t="s">
        <v>158</v>
      </c>
      <c r="AK169" s="3"/>
      <c r="AL169" s="3"/>
      <c r="AM169" s="3"/>
      <c r="AN169" s="3"/>
      <c r="AO169" s="3"/>
      <c r="AP169" s="3"/>
      <c r="AQ169" s="3"/>
    </row>
    <row r="170" spans="2:43" ht="18" customHeight="1">
      <c r="B170" s="3"/>
      <c r="C170" s="3" t="s">
        <v>146</v>
      </c>
      <c r="D170" s="3"/>
      <c r="E170" s="3"/>
      <c r="F170" s="3"/>
      <c r="G170" s="3"/>
      <c r="H170" s="3"/>
      <c r="I170" s="3"/>
      <c r="J170" s="3"/>
      <c r="K170" s="3"/>
      <c r="L170" s="3"/>
      <c r="M170" s="126">
        <f>-AG121*1000</f>
        <v>-2600</v>
      </c>
      <c r="N170" s="33"/>
      <c r="O170" s="33"/>
      <c r="P170" s="33"/>
      <c r="Q170" s="3" t="s">
        <v>84</v>
      </c>
      <c r="R170" s="3"/>
      <c r="S170" s="3"/>
      <c r="T170" s="3" t="s">
        <v>147</v>
      </c>
      <c r="U170" s="126">
        <f>N146</f>
        <v>15</v>
      </c>
      <c r="V170" s="33"/>
      <c r="W170" s="3" t="s">
        <v>72</v>
      </c>
      <c r="X170" s="33">
        <f>X169</f>
        <v>-96.1311023555601</v>
      </c>
      <c r="Y170" s="33"/>
      <c r="Z170" s="33"/>
      <c r="AA170" s="33"/>
      <c r="AB170" s="33"/>
      <c r="AC170" s="3" t="s">
        <v>79</v>
      </c>
      <c r="AD170" s="33">
        <f>M170/2-U170-X170</f>
        <v>-1218.8688976444398</v>
      </c>
      <c r="AE170" s="33"/>
      <c r="AF170" s="33"/>
      <c r="AG170" s="33"/>
      <c r="AH170" s="33"/>
      <c r="AI170" s="33"/>
      <c r="AJ170" s="2" t="s">
        <v>145</v>
      </c>
      <c r="AK170" s="3"/>
      <c r="AL170" s="3"/>
      <c r="AM170" s="3"/>
      <c r="AN170" s="3"/>
      <c r="AO170" s="3"/>
      <c r="AP170" s="3"/>
      <c r="AQ170" s="3"/>
    </row>
    <row r="171" spans="1:43" ht="18" customHeight="1">
      <c r="A171" s="3"/>
      <c r="B171" s="3"/>
      <c r="C171" s="3" t="s">
        <v>148</v>
      </c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3">
        <f>AD170</f>
        <v>-1218.8688976444398</v>
      </c>
      <c r="Q171" s="33"/>
      <c r="R171" s="33"/>
      <c r="S171" s="33"/>
      <c r="T171" s="33"/>
      <c r="U171" s="3" t="s">
        <v>149</v>
      </c>
      <c r="V171" s="33">
        <f>(AG121+AG128+AG129)*1000</f>
        <v>2630.0000000000005</v>
      </c>
      <c r="W171" s="33"/>
      <c r="X171" s="33"/>
      <c r="Y171" s="33"/>
      <c r="Z171" s="3" t="s">
        <v>79</v>
      </c>
      <c r="AA171" s="33">
        <f>P171+V171</f>
        <v>1411.1311023555606</v>
      </c>
      <c r="AB171" s="33"/>
      <c r="AC171" s="33"/>
      <c r="AD171" s="33"/>
      <c r="AE171" s="33"/>
      <c r="AF171" s="2" t="s">
        <v>145</v>
      </c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</row>
    <row r="172" spans="1:45" ht="18" customHeight="1">
      <c r="A172" s="3"/>
      <c r="B172" s="3"/>
      <c r="C172" s="3" t="s">
        <v>150</v>
      </c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 t="s">
        <v>151</v>
      </c>
      <c r="AB172" s="126">
        <f>((AG122+AM122+AG123)/2+AG130)*(AG121+AG128/2+AG129/2)*1000000</f>
        <v>5909899.999999998</v>
      </c>
      <c r="AC172" s="126"/>
      <c r="AD172" s="126"/>
      <c r="AE172" s="126"/>
      <c r="AF172" s="126"/>
      <c r="AG172" s="3" t="s">
        <v>142</v>
      </c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</row>
    <row r="173" spans="1:45" ht="18" customHeight="1">
      <c r="A173" s="3"/>
      <c r="B173" s="3"/>
      <c r="C173" s="3" t="s">
        <v>55</v>
      </c>
      <c r="D173" s="3"/>
      <c r="E173" s="3"/>
      <c r="F173" s="3"/>
      <c r="G173" s="3"/>
      <c r="H173" s="3"/>
      <c r="I173" s="3"/>
      <c r="J173" s="3"/>
      <c r="K173" s="3"/>
      <c r="L173" s="3"/>
      <c r="M173" s="33">
        <f>AG137*1000000*P171/AD169</f>
        <v>-36.219959088123176</v>
      </c>
      <c r="N173" s="33"/>
      <c r="O173" s="33"/>
      <c r="P173" s="33"/>
      <c r="Q173" s="33"/>
      <c r="R173" s="3" t="s">
        <v>101</v>
      </c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</row>
    <row r="174" spans="1:45" ht="18" customHeight="1">
      <c r="A174" s="3"/>
      <c r="B174" s="3"/>
      <c r="C174" s="3" t="s">
        <v>56</v>
      </c>
      <c r="D174" s="3"/>
      <c r="E174" s="3"/>
      <c r="F174" s="3"/>
      <c r="G174" s="3"/>
      <c r="H174" s="3"/>
      <c r="I174" s="3"/>
      <c r="J174" s="3"/>
      <c r="K174" s="3"/>
      <c r="L174" s="3"/>
      <c r="M174" s="33">
        <f>AG137*1000000*AA171/AD169</f>
        <v>41.933230796251195</v>
      </c>
      <c r="N174" s="33"/>
      <c r="O174" s="33"/>
      <c r="P174" s="33"/>
      <c r="Q174" s="33"/>
      <c r="R174" s="3" t="s">
        <v>101</v>
      </c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</row>
    <row r="175" spans="1:45" ht="18" customHeight="1">
      <c r="A175" s="3"/>
      <c r="B175" s="3"/>
      <c r="C175" s="3" t="s">
        <v>57</v>
      </c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3">
        <f>ABS(AG139)*1000/(Q148+Q149)+ABS(AG141)*1000000/(2*AB172*AG130*1000)</f>
        <v>4.275040830299218</v>
      </c>
      <c r="T175" s="33"/>
      <c r="U175" s="33"/>
      <c r="V175" s="33"/>
      <c r="W175" s="33"/>
      <c r="X175" s="3" t="s">
        <v>101</v>
      </c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</row>
    <row r="176" spans="1:45" ht="18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</row>
    <row r="177" spans="1:45" ht="18" customHeight="1">
      <c r="A177" s="3"/>
      <c r="B177" s="3" t="s">
        <v>58</v>
      </c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</row>
    <row r="178" spans="1:46" ht="18" customHeight="1">
      <c r="A178" s="3"/>
      <c r="B178" s="3"/>
      <c r="C178" s="3" t="s">
        <v>105</v>
      </c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3">
        <f>AG138*1000000/AD169*AD170</f>
        <v>-23.893173523949436</v>
      </c>
      <c r="O178" s="33"/>
      <c r="P178" s="33"/>
      <c r="Q178" s="33"/>
      <c r="R178" s="33"/>
      <c r="S178" s="3" t="s">
        <v>101</v>
      </c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61"/>
    </row>
    <row r="179" spans="1:45" ht="18" customHeight="1">
      <c r="A179" s="3"/>
      <c r="B179" s="3"/>
      <c r="C179" s="3" t="s">
        <v>106</v>
      </c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3">
        <f>AG138*1000000/AD169*AA171</f>
        <v>27.662040075666106</v>
      </c>
      <c r="O179" s="33"/>
      <c r="P179" s="33"/>
      <c r="Q179" s="33"/>
      <c r="R179" s="33"/>
      <c r="S179" s="3" t="s">
        <v>101</v>
      </c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</row>
    <row r="180" spans="1:45" ht="18" customHeight="1">
      <c r="A180" s="3"/>
      <c r="B180" s="3"/>
      <c r="C180" s="3" t="s">
        <v>107</v>
      </c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3">
        <f>ABS(AG140)*1000/(Q148+Q149)+ABS(AG142)*100000/(2*AB172*AG130*100)</f>
        <v>8.230283290689872</v>
      </c>
      <c r="T180" s="33"/>
      <c r="U180" s="33"/>
      <c r="V180" s="33"/>
      <c r="W180" s="33"/>
      <c r="X180" s="3" t="s">
        <v>101</v>
      </c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</row>
    <row r="181" spans="1:45" ht="18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</row>
    <row r="182" spans="1:54" ht="18" customHeight="1">
      <c r="A182" s="3"/>
      <c r="B182" s="3" t="s">
        <v>59</v>
      </c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U182" s="4" t="s">
        <v>159</v>
      </c>
      <c r="AV182" s="4"/>
      <c r="AW182" s="4"/>
      <c r="AX182" s="4"/>
      <c r="AY182" s="4"/>
      <c r="AZ182" s="4"/>
      <c r="BA182" s="4"/>
      <c r="BB182" s="4"/>
    </row>
    <row r="183" spans="1:88" ht="18" customHeight="1">
      <c r="A183" s="3"/>
      <c r="B183" s="3"/>
      <c r="C183" s="3" t="s">
        <v>108</v>
      </c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3">
        <f>ABS((AG139+AG140)*1000/(Q148+Q149))+ABS((AG141+AG142)/(2*AB172*AG130*1000))*1000000</f>
        <v>12.505324120989089</v>
      </c>
      <c r="AA183" s="33"/>
      <c r="AB183" s="33"/>
      <c r="AC183" s="33"/>
      <c r="AD183" s="3" t="s">
        <v>101</v>
      </c>
      <c r="AE183" s="3"/>
      <c r="AF183" s="3" t="s">
        <v>86</v>
      </c>
      <c r="AG183" s="3" t="s">
        <v>87</v>
      </c>
      <c r="AH183" s="3"/>
      <c r="AI183" s="3"/>
      <c r="AJ183" s="127">
        <f>HLOOKUP(AG119,AX183:CJ186,AU183,FALSE)</f>
        <v>120</v>
      </c>
      <c r="AK183" s="33"/>
      <c r="AL183" s="33"/>
      <c r="AM183" s="3" t="s">
        <v>101</v>
      </c>
      <c r="AN183" s="3"/>
      <c r="AO183" s="3"/>
      <c r="AP183" s="3" t="str">
        <f>IF(Z183&lt;AJ183,"O.K.","N.G.")</f>
        <v>O.K.</v>
      </c>
      <c r="AQ183" s="3"/>
      <c r="AR183" s="3"/>
      <c r="AS183" s="3"/>
      <c r="AU183" s="128">
        <f>IF(AG130&lt;=0.04,2,IF(AG130&lt;=0.075,3,4))</f>
        <v>2</v>
      </c>
      <c r="AV183" s="129"/>
      <c r="AW183" s="130"/>
      <c r="AX183" s="25" t="s">
        <v>4</v>
      </c>
      <c r="AY183" s="26"/>
      <c r="AZ183" s="27"/>
      <c r="BA183" s="25" t="s">
        <v>5</v>
      </c>
      <c r="BB183" s="26"/>
      <c r="BC183" s="27"/>
      <c r="BD183" s="25" t="s">
        <v>6</v>
      </c>
      <c r="BE183" s="26"/>
      <c r="BF183" s="27"/>
      <c r="BG183" s="25" t="s">
        <v>7</v>
      </c>
      <c r="BH183" s="26"/>
      <c r="BI183" s="27"/>
      <c r="BJ183" s="25" t="s">
        <v>88</v>
      </c>
      <c r="BK183" s="26"/>
      <c r="BL183" s="27"/>
      <c r="BM183" s="131" t="s">
        <v>8</v>
      </c>
      <c r="BN183" s="132"/>
      <c r="BO183" s="133"/>
      <c r="BP183" s="25" t="s">
        <v>9</v>
      </c>
      <c r="BQ183" s="26"/>
      <c r="BR183" s="27"/>
      <c r="BS183" s="25" t="s">
        <v>10</v>
      </c>
      <c r="BT183" s="26"/>
      <c r="BU183" s="27"/>
      <c r="BV183" s="25" t="s">
        <v>11</v>
      </c>
      <c r="BW183" s="26"/>
      <c r="BX183" s="27"/>
      <c r="BY183" s="131" t="s">
        <v>12</v>
      </c>
      <c r="BZ183" s="132"/>
      <c r="CA183" s="133"/>
      <c r="CB183" s="25" t="s">
        <v>13</v>
      </c>
      <c r="CC183" s="26"/>
      <c r="CD183" s="27"/>
      <c r="CE183" s="25" t="s">
        <v>14</v>
      </c>
      <c r="CF183" s="26"/>
      <c r="CG183" s="27"/>
      <c r="CH183" s="131" t="s">
        <v>15</v>
      </c>
      <c r="CI183" s="132"/>
      <c r="CJ183" s="133"/>
    </row>
    <row r="184" spans="1:88" ht="18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U184" s="19">
        <v>40</v>
      </c>
      <c r="AV184" s="20"/>
      <c r="AW184" s="21"/>
      <c r="AX184" s="19">
        <v>80</v>
      </c>
      <c r="AY184" s="20"/>
      <c r="AZ184" s="21"/>
      <c r="BA184" s="19">
        <f>AX184</f>
        <v>80</v>
      </c>
      <c r="BB184" s="20"/>
      <c r="BC184" s="21"/>
      <c r="BD184" s="19">
        <f>AX184</f>
        <v>80</v>
      </c>
      <c r="BE184" s="20"/>
      <c r="BF184" s="21"/>
      <c r="BG184" s="19">
        <v>80</v>
      </c>
      <c r="BH184" s="20"/>
      <c r="BI184" s="21"/>
      <c r="BJ184" s="19">
        <v>105</v>
      </c>
      <c r="BK184" s="20"/>
      <c r="BL184" s="21"/>
      <c r="BM184" s="19">
        <v>105</v>
      </c>
      <c r="BN184" s="20"/>
      <c r="BO184" s="21"/>
      <c r="BP184" s="19">
        <v>120</v>
      </c>
      <c r="BQ184" s="20"/>
      <c r="BR184" s="21"/>
      <c r="BS184" s="19">
        <f>BP184</f>
        <v>120</v>
      </c>
      <c r="BT184" s="20"/>
      <c r="BU184" s="21"/>
      <c r="BV184" s="19">
        <f>BP184</f>
        <v>120</v>
      </c>
      <c r="BW184" s="20"/>
      <c r="BX184" s="21"/>
      <c r="BY184" s="19">
        <v>120</v>
      </c>
      <c r="BZ184" s="20"/>
      <c r="CA184" s="21"/>
      <c r="CB184" s="19">
        <v>145</v>
      </c>
      <c r="CC184" s="20"/>
      <c r="CD184" s="21"/>
      <c r="CE184" s="19">
        <f>CB184</f>
        <v>145</v>
      </c>
      <c r="CF184" s="20"/>
      <c r="CG184" s="21"/>
      <c r="CH184" s="19">
        <v>145</v>
      </c>
      <c r="CI184" s="20"/>
      <c r="CJ184" s="21"/>
    </row>
    <row r="185" spans="1:88" ht="18" customHeight="1">
      <c r="A185" s="3"/>
      <c r="B185" s="3" t="s">
        <v>60</v>
      </c>
      <c r="C185" s="3"/>
      <c r="D185" s="3"/>
      <c r="E185" s="3"/>
      <c r="F185" s="3"/>
      <c r="G185" s="3"/>
      <c r="H185" s="3"/>
      <c r="I185" s="3"/>
      <c r="J185" s="3"/>
      <c r="K185" s="134"/>
      <c r="L185" s="3"/>
      <c r="M185" s="3"/>
      <c r="N185" s="3"/>
      <c r="O185" s="3"/>
      <c r="P185" s="3"/>
      <c r="Q185" s="3"/>
      <c r="R185" s="3"/>
      <c r="S185" s="3"/>
      <c r="T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U185" s="135" t="s">
        <v>16</v>
      </c>
      <c r="AV185" s="136"/>
      <c r="AW185" s="137"/>
      <c r="AX185" s="19">
        <v>75</v>
      </c>
      <c r="AY185" s="20"/>
      <c r="AZ185" s="21"/>
      <c r="BA185" s="19">
        <f>AX185</f>
        <v>75</v>
      </c>
      <c r="BB185" s="20"/>
      <c r="BC185" s="21"/>
      <c r="BD185" s="19">
        <f>AX185</f>
        <v>75</v>
      </c>
      <c r="BE185" s="20"/>
      <c r="BF185" s="21"/>
      <c r="BG185" s="19">
        <v>80</v>
      </c>
      <c r="BH185" s="20"/>
      <c r="BI185" s="21"/>
      <c r="BJ185" s="19">
        <v>100</v>
      </c>
      <c r="BK185" s="20"/>
      <c r="BL185" s="21"/>
      <c r="BM185" s="19">
        <v>105</v>
      </c>
      <c r="BN185" s="20"/>
      <c r="BO185" s="21"/>
      <c r="BP185" s="19">
        <v>115</v>
      </c>
      <c r="BQ185" s="20"/>
      <c r="BR185" s="21"/>
      <c r="BS185" s="19">
        <f>BP185</f>
        <v>115</v>
      </c>
      <c r="BT185" s="20"/>
      <c r="BU185" s="21"/>
      <c r="BV185" s="19">
        <f>BP185</f>
        <v>115</v>
      </c>
      <c r="BW185" s="20"/>
      <c r="BX185" s="21"/>
      <c r="BY185" s="19">
        <v>120</v>
      </c>
      <c r="BZ185" s="20"/>
      <c r="CA185" s="21"/>
      <c r="CB185" s="19">
        <v>140</v>
      </c>
      <c r="CC185" s="20"/>
      <c r="CD185" s="21"/>
      <c r="CE185" s="19">
        <f>CB185</f>
        <v>140</v>
      </c>
      <c r="CF185" s="20"/>
      <c r="CG185" s="21"/>
      <c r="CH185" s="19">
        <v>145</v>
      </c>
      <c r="CI185" s="20"/>
      <c r="CJ185" s="21"/>
    </row>
    <row r="186" spans="1:88" ht="18" customHeight="1">
      <c r="A186" s="3"/>
      <c r="B186" s="3"/>
      <c r="C186" s="3" t="s">
        <v>160</v>
      </c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U186" s="135" t="s">
        <v>17</v>
      </c>
      <c r="AV186" s="136"/>
      <c r="AW186" s="137"/>
      <c r="AX186" s="19">
        <v>75</v>
      </c>
      <c r="AY186" s="20"/>
      <c r="AZ186" s="21"/>
      <c r="BA186" s="19">
        <f>AX186</f>
        <v>75</v>
      </c>
      <c r="BB186" s="20"/>
      <c r="BC186" s="21"/>
      <c r="BD186" s="19">
        <f>AX186</f>
        <v>75</v>
      </c>
      <c r="BE186" s="20"/>
      <c r="BF186" s="21"/>
      <c r="BG186" s="19">
        <v>80</v>
      </c>
      <c r="BH186" s="20"/>
      <c r="BI186" s="21"/>
      <c r="BJ186" s="19">
        <v>100</v>
      </c>
      <c r="BK186" s="20"/>
      <c r="BL186" s="21"/>
      <c r="BM186" s="19">
        <v>105</v>
      </c>
      <c r="BN186" s="20"/>
      <c r="BO186" s="21"/>
      <c r="BP186" s="19">
        <v>110</v>
      </c>
      <c r="BQ186" s="20"/>
      <c r="BR186" s="21"/>
      <c r="BS186" s="19">
        <f>BP186</f>
        <v>110</v>
      </c>
      <c r="BT186" s="20"/>
      <c r="BU186" s="21"/>
      <c r="BV186" s="19">
        <f>BP186</f>
        <v>110</v>
      </c>
      <c r="BW186" s="20"/>
      <c r="BX186" s="21"/>
      <c r="BY186" s="19">
        <v>120</v>
      </c>
      <c r="BZ186" s="20"/>
      <c r="CA186" s="21"/>
      <c r="CB186" s="19">
        <v>135</v>
      </c>
      <c r="CC186" s="20"/>
      <c r="CD186" s="21"/>
      <c r="CE186" s="19">
        <f>CB186</f>
        <v>135</v>
      </c>
      <c r="CF186" s="20"/>
      <c r="CG186" s="21"/>
      <c r="CH186" s="19">
        <v>145</v>
      </c>
      <c r="CI186" s="20"/>
      <c r="CJ186" s="21"/>
    </row>
    <row r="187" spans="1:57" ht="18" customHeight="1">
      <c r="A187" s="3"/>
      <c r="B187" s="3"/>
      <c r="C187" s="3"/>
      <c r="D187" s="3" t="s">
        <v>79</v>
      </c>
      <c r="E187" s="33">
        <v>0.65</v>
      </c>
      <c r="F187" s="33"/>
      <c r="G187" s="33"/>
      <c r="H187" s="3" t="s">
        <v>83</v>
      </c>
      <c r="I187" s="3" t="s">
        <v>85</v>
      </c>
      <c r="J187" s="126">
        <v>0</v>
      </c>
      <c r="K187" s="33"/>
      <c r="L187" s="3" t="s">
        <v>81</v>
      </c>
      <c r="M187" s="127">
        <f>IF((AG137+AG138)&gt;=0,C147+1,C150+1)</f>
        <v>6</v>
      </c>
      <c r="N187" s="33"/>
      <c r="O187" s="3" t="s">
        <v>161</v>
      </c>
      <c r="P187" s="3" t="s">
        <v>78</v>
      </c>
      <c r="Q187" s="33">
        <v>0.13</v>
      </c>
      <c r="R187" s="33"/>
      <c r="S187" s="33"/>
      <c r="T187" s="3" t="s">
        <v>83</v>
      </c>
      <c r="U187" s="3" t="s">
        <v>85</v>
      </c>
      <c r="V187" s="126">
        <v>0</v>
      </c>
      <c r="W187" s="33"/>
      <c r="X187" s="3" t="s">
        <v>81</v>
      </c>
      <c r="Y187" s="127">
        <f>M187</f>
        <v>6</v>
      </c>
      <c r="Z187" s="33"/>
      <c r="AA187" s="3" t="s">
        <v>89</v>
      </c>
      <c r="AB187" s="3" t="s">
        <v>78</v>
      </c>
      <c r="AC187" s="126">
        <v>1</v>
      </c>
      <c r="AD187" s="33"/>
      <c r="AE187" s="3" t="s">
        <v>79</v>
      </c>
      <c r="AF187" s="33">
        <v>1</v>
      </c>
      <c r="AG187" s="33"/>
      <c r="AH187" s="33"/>
      <c r="AI187" s="3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U187" s="5" t="s">
        <v>162</v>
      </c>
      <c r="AV187" s="5"/>
      <c r="AW187" s="5"/>
      <c r="AX187" s="5"/>
      <c r="AY187" s="5"/>
      <c r="AZ187" s="5"/>
      <c r="BA187" s="5"/>
      <c r="BB187" s="5"/>
      <c r="BC187" s="5"/>
      <c r="BD187" s="5"/>
      <c r="BE187" s="5"/>
    </row>
    <row r="188" spans="1:88" ht="18" customHeight="1">
      <c r="A188" s="3"/>
      <c r="B188" s="3"/>
      <c r="C188" s="3"/>
      <c r="D188" s="3" t="s">
        <v>163</v>
      </c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138"/>
      <c r="AU188" s="19">
        <f>IF(AG129&lt;=0.04,2,IF(AG129&lt;=0.075,3,4))</f>
        <v>2</v>
      </c>
      <c r="AV188" s="20"/>
      <c r="AW188" s="21"/>
      <c r="AX188" s="25" t="s">
        <v>4</v>
      </c>
      <c r="AY188" s="26"/>
      <c r="AZ188" s="27"/>
      <c r="BA188" s="25" t="s">
        <v>5</v>
      </c>
      <c r="BB188" s="26"/>
      <c r="BC188" s="27"/>
      <c r="BD188" s="25" t="s">
        <v>6</v>
      </c>
      <c r="BE188" s="26"/>
      <c r="BF188" s="27"/>
      <c r="BG188" s="25" t="s">
        <v>7</v>
      </c>
      <c r="BH188" s="26"/>
      <c r="BI188" s="27"/>
      <c r="BJ188" s="25" t="s">
        <v>88</v>
      </c>
      <c r="BK188" s="26"/>
      <c r="BL188" s="27"/>
      <c r="BM188" s="131" t="s">
        <v>8</v>
      </c>
      <c r="BN188" s="132"/>
      <c r="BO188" s="133"/>
      <c r="BP188" s="25" t="s">
        <v>9</v>
      </c>
      <c r="BQ188" s="26"/>
      <c r="BR188" s="27"/>
      <c r="BS188" s="25" t="s">
        <v>10</v>
      </c>
      <c r="BT188" s="26"/>
      <c r="BU188" s="27"/>
      <c r="BV188" s="25" t="s">
        <v>11</v>
      </c>
      <c r="BW188" s="26"/>
      <c r="BX188" s="27"/>
      <c r="BY188" s="131" t="s">
        <v>12</v>
      </c>
      <c r="BZ188" s="132"/>
      <c r="CA188" s="133"/>
      <c r="CB188" s="25" t="s">
        <v>13</v>
      </c>
      <c r="CC188" s="26"/>
      <c r="CD188" s="27"/>
      <c r="CE188" s="25" t="s">
        <v>14</v>
      </c>
      <c r="CF188" s="26"/>
      <c r="CG188" s="27"/>
      <c r="CH188" s="131" t="s">
        <v>15</v>
      </c>
      <c r="CI188" s="132"/>
      <c r="CJ188" s="133"/>
    </row>
    <row r="189" spans="1:88" ht="18" customHeight="1">
      <c r="A189" s="3"/>
      <c r="B189" s="3"/>
      <c r="C189" s="3"/>
      <c r="D189" s="3" t="s">
        <v>18</v>
      </c>
      <c r="E189" s="3"/>
      <c r="F189" s="3"/>
      <c r="G189" s="3"/>
      <c r="H189" s="3" t="s">
        <v>19</v>
      </c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138"/>
      <c r="AU189" s="19">
        <v>40</v>
      </c>
      <c r="AV189" s="20"/>
      <c r="AW189" s="21"/>
      <c r="AX189" s="19">
        <v>140</v>
      </c>
      <c r="AY189" s="20"/>
      <c r="AZ189" s="21"/>
      <c r="BA189" s="19">
        <f>AX189</f>
        <v>140</v>
      </c>
      <c r="BB189" s="20"/>
      <c r="BC189" s="21"/>
      <c r="BD189" s="19">
        <f>AX189</f>
        <v>140</v>
      </c>
      <c r="BE189" s="20"/>
      <c r="BF189" s="21"/>
      <c r="BG189" s="19">
        <v>140</v>
      </c>
      <c r="BH189" s="20"/>
      <c r="BI189" s="21"/>
      <c r="BJ189" s="19">
        <v>185</v>
      </c>
      <c r="BK189" s="20"/>
      <c r="BL189" s="21"/>
      <c r="BM189" s="19">
        <f>BJ189</f>
        <v>185</v>
      </c>
      <c r="BN189" s="20"/>
      <c r="BO189" s="21"/>
      <c r="BP189" s="19">
        <v>210</v>
      </c>
      <c r="BQ189" s="20"/>
      <c r="BR189" s="21"/>
      <c r="BS189" s="19">
        <f>BP189</f>
        <v>210</v>
      </c>
      <c r="BT189" s="20"/>
      <c r="BU189" s="21"/>
      <c r="BV189" s="19">
        <f>BP189</f>
        <v>210</v>
      </c>
      <c r="BW189" s="20"/>
      <c r="BX189" s="21"/>
      <c r="BY189" s="19">
        <v>210</v>
      </c>
      <c r="BZ189" s="20"/>
      <c r="CA189" s="21"/>
      <c r="CB189" s="19">
        <v>255</v>
      </c>
      <c r="CC189" s="20"/>
      <c r="CD189" s="21"/>
      <c r="CE189" s="19">
        <f>CB189</f>
        <v>255</v>
      </c>
      <c r="CF189" s="20"/>
      <c r="CG189" s="21"/>
      <c r="CH189" s="19">
        <f>CE189</f>
        <v>255</v>
      </c>
      <c r="CI189" s="20"/>
      <c r="CJ189" s="21"/>
    </row>
    <row r="190" spans="1:88" ht="18" customHeight="1">
      <c r="A190" s="3"/>
      <c r="B190" s="3"/>
      <c r="C190" s="3"/>
      <c r="D190" s="3"/>
      <c r="E190" s="3"/>
      <c r="F190" s="3"/>
      <c r="G190" s="3"/>
      <c r="H190" s="3" t="s">
        <v>20</v>
      </c>
      <c r="I190" s="3"/>
      <c r="J190" s="3"/>
      <c r="K190" s="3"/>
      <c r="L190" s="3"/>
      <c r="M190" s="3"/>
      <c r="N190" s="3"/>
      <c r="O190" s="3"/>
      <c r="P190" s="3"/>
      <c r="Q190" s="3" t="s">
        <v>21</v>
      </c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138"/>
      <c r="AU190" s="135" t="s">
        <v>16</v>
      </c>
      <c r="AV190" s="136"/>
      <c r="AW190" s="137"/>
      <c r="AX190" s="19">
        <v>125</v>
      </c>
      <c r="AY190" s="20"/>
      <c r="AZ190" s="21"/>
      <c r="BA190" s="19">
        <f>AX190</f>
        <v>125</v>
      </c>
      <c r="BB190" s="20"/>
      <c r="BC190" s="21"/>
      <c r="BD190" s="19">
        <f>AX190</f>
        <v>125</v>
      </c>
      <c r="BE190" s="20"/>
      <c r="BF190" s="21"/>
      <c r="BG190" s="19">
        <v>140</v>
      </c>
      <c r="BH190" s="20"/>
      <c r="BI190" s="21"/>
      <c r="BJ190" s="19">
        <v>175</v>
      </c>
      <c r="BK190" s="20"/>
      <c r="BL190" s="21"/>
      <c r="BM190" s="19">
        <f>BM189</f>
        <v>185</v>
      </c>
      <c r="BN190" s="20"/>
      <c r="BO190" s="21"/>
      <c r="BP190" s="19">
        <v>195</v>
      </c>
      <c r="BQ190" s="20"/>
      <c r="BR190" s="21"/>
      <c r="BS190" s="19">
        <f>BP190</f>
        <v>195</v>
      </c>
      <c r="BT190" s="20"/>
      <c r="BU190" s="21"/>
      <c r="BV190" s="19">
        <f>BP190</f>
        <v>195</v>
      </c>
      <c r="BW190" s="20"/>
      <c r="BX190" s="21"/>
      <c r="BY190" s="19">
        <v>210</v>
      </c>
      <c r="BZ190" s="20"/>
      <c r="CA190" s="21"/>
      <c r="CB190" s="19">
        <v>245</v>
      </c>
      <c r="CC190" s="20"/>
      <c r="CD190" s="21"/>
      <c r="CE190" s="19">
        <f>CB190</f>
        <v>245</v>
      </c>
      <c r="CF190" s="20"/>
      <c r="CG190" s="21"/>
      <c r="CH190" s="19">
        <f>CH189</f>
        <v>255</v>
      </c>
      <c r="CI190" s="20"/>
      <c r="CJ190" s="21"/>
    </row>
    <row r="191" spans="1:88" ht="18" customHeight="1">
      <c r="A191" s="3"/>
      <c r="B191" s="3"/>
      <c r="C191" s="3"/>
      <c r="D191" s="3"/>
      <c r="E191" s="3"/>
      <c r="F191" s="3"/>
      <c r="G191" s="3"/>
      <c r="H191" s="3" t="s">
        <v>164</v>
      </c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U191" s="135" t="s">
        <v>17</v>
      </c>
      <c r="AV191" s="136"/>
      <c r="AW191" s="137"/>
      <c r="AX191" s="19">
        <v>125</v>
      </c>
      <c r="AY191" s="20"/>
      <c r="AZ191" s="21"/>
      <c r="BA191" s="19">
        <f>AX191</f>
        <v>125</v>
      </c>
      <c r="BB191" s="20"/>
      <c r="BC191" s="21"/>
      <c r="BD191" s="19">
        <f>AX191</f>
        <v>125</v>
      </c>
      <c r="BE191" s="20"/>
      <c r="BF191" s="21"/>
      <c r="BG191" s="19">
        <v>140</v>
      </c>
      <c r="BH191" s="20"/>
      <c r="BI191" s="21"/>
      <c r="BJ191" s="19">
        <v>175</v>
      </c>
      <c r="BK191" s="20"/>
      <c r="BL191" s="21"/>
      <c r="BM191" s="19">
        <f>BM189</f>
        <v>185</v>
      </c>
      <c r="BN191" s="20"/>
      <c r="BO191" s="21"/>
      <c r="BP191" s="19">
        <v>190</v>
      </c>
      <c r="BQ191" s="20"/>
      <c r="BR191" s="21"/>
      <c r="BS191" s="19">
        <f>BP191</f>
        <v>190</v>
      </c>
      <c r="BT191" s="20"/>
      <c r="BU191" s="21"/>
      <c r="BV191" s="19">
        <f>BP191</f>
        <v>190</v>
      </c>
      <c r="BW191" s="20"/>
      <c r="BX191" s="21"/>
      <c r="BY191" s="19">
        <v>210</v>
      </c>
      <c r="BZ191" s="20"/>
      <c r="CA191" s="21"/>
      <c r="CB191" s="19">
        <v>240</v>
      </c>
      <c r="CC191" s="20"/>
      <c r="CD191" s="21"/>
      <c r="CE191" s="19">
        <f>CB191</f>
        <v>240</v>
      </c>
      <c r="CF191" s="20"/>
      <c r="CG191" s="21"/>
      <c r="CH191" s="19">
        <f>CH189</f>
        <v>255</v>
      </c>
      <c r="CI191" s="20"/>
      <c r="CJ191" s="21"/>
    </row>
    <row r="192" spans="1:57" ht="18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 t="s">
        <v>165</v>
      </c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6"/>
      <c r="AU192" s="5" t="s">
        <v>166</v>
      </c>
      <c r="AV192" s="5"/>
      <c r="AW192" s="5"/>
      <c r="AX192" s="5"/>
      <c r="AY192" s="5"/>
      <c r="AZ192" s="5"/>
      <c r="BA192" s="5"/>
      <c r="BB192" s="5"/>
      <c r="BC192" s="5"/>
      <c r="BD192" s="5"/>
      <c r="BE192" s="5"/>
    </row>
    <row r="193" spans="1:88" ht="18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7"/>
      <c r="AU193" s="19">
        <f>IF(AG128&lt;=0.04,2,IF(AG128&lt;=0.075,3,4))</f>
        <v>2</v>
      </c>
      <c r="AV193" s="20"/>
      <c r="AW193" s="21"/>
      <c r="AX193" s="25" t="s">
        <v>4</v>
      </c>
      <c r="AY193" s="26"/>
      <c r="AZ193" s="27"/>
      <c r="BA193" s="25" t="s">
        <v>5</v>
      </c>
      <c r="BB193" s="26"/>
      <c r="BC193" s="27"/>
      <c r="BD193" s="25" t="s">
        <v>6</v>
      </c>
      <c r="BE193" s="26"/>
      <c r="BF193" s="27"/>
      <c r="BG193" s="25" t="s">
        <v>7</v>
      </c>
      <c r="BH193" s="26"/>
      <c r="BI193" s="27"/>
      <c r="BJ193" s="25" t="s">
        <v>88</v>
      </c>
      <c r="BK193" s="26"/>
      <c r="BL193" s="27"/>
      <c r="BM193" s="131" t="s">
        <v>8</v>
      </c>
      <c r="BN193" s="132"/>
      <c r="BO193" s="133"/>
      <c r="BP193" s="25" t="s">
        <v>9</v>
      </c>
      <c r="BQ193" s="26"/>
      <c r="BR193" s="27"/>
      <c r="BS193" s="25" t="s">
        <v>10</v>
      </c>
      <c r="BT193" s="26"/>
      <c r="BU193" s="27"/>
      <c r="BV193" s="25" t="s">
        <v>11</v>
      </c>
      <c r="BW193" s="26"/>
      <c r="BX193" s="27"/>
      <c r="BY193" s="131" t="s">
        <v>12</v>
      </c>
      <c r="BZ193" s="132"/>
      <c r="CA193" s="133"/>
      <c r="CB193" s="25" t="s">
        <v>13</v>
      </c>
      <c r="CC193" s="26"/>
      <c r="CD193" s="27"/>
      <c r="CE193" s="25" t="s">
        <v>14</v>
      </c>
      <c r="CF193" s="26"/>
      <c r="CG193" s="27"/>
      <c r="CH193" s="131" t="s">
        <v>15</v>
      </c>
      <c r="CI193" s="132"/>
      <c r="CJ193" s="133"/>
    </row>
    <row r="194" spans="1:88" ht="18" customHeight="1">
      <c r="A194" s="3"/>
      <c r="B194" s="3"/>
      <c r="C194" s="3" t="s">
        <v>22</v>
      </c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 t="s">
        <v>85</v>
      </c>
      <c r="S194" s="33" t="str">
        <f>AG119</f>
        <v>SMA490</v>
      </c>
      <c r="T194" s="33"/>
      <c r="U194" s="33"/>
      <c r="V194" s="33"/>
      <c r="W194" s="3" t="s">
        <v>23</v>
      </c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139"/>
      <c r="AU194" s="19">
        <v>40</v>
      </c>
      <c r="AV194" s="20"/>
      <c r="AW194" s="21"/>
      <c r="AX194" s="19">
        <v>140</v>
      </c>
      <c r="AY194" s="20"/>
      <c r="AZ194" s="21"/>
      <c r="BA194" s="19">
        <f>AX194</f>
        <v>140</v>
      </c>
      <c r="BB194" s="20"/>
      <c r="BC194" s="21"/>
      <c r="BD194" s="19">
        <f>AX194</f>
        <v>140</v>
      </c>
      <c r="BE194" s="20"/>
      <c r="BF194" s="21"/>
      <c r="BG194" s="19">
        <v>140</v>
      </c>
      <c r="BH194" s="20"/>
      <c r="BI194" s="21"/>
      <c r="BJ194" s="19">
        <v>185</v>
      </c>
      <c r="BK194" s="20"/>
      <c r="BL194" s="21"/>
      <c r="BM194" s="19">
        <f>BJ194</f>
        <v>185</v>
      </c>
      <c r="BN194" s="20"/>
      <c r="BO194" s="21"/>
      <c r="BP194" s="19">
        <v>210</v>
      </c>
      <c r="BQ194" s="20"/>
      <c r="BR194" s="21"/>
      <c r="BS194" s="19">
        <f>BP194</f>
        <v>210</v>
      </c>
      <c r="BT194" s="20"/>
      <c r="BU194" s="21"/>
      <c r="BV194" s="19">
        <f>BP194</f>
        <v>210</v>
      </c>
      <c r="BW194" s="20"/>
      <c r="BX194" s="21"/>
      <c r="BY194" s="19">
        <v>210</v>
      </c>
      <c r="BZ194" s="20"/>
      <c r="CA194" s="21"/>
      <c r="CB194" s="19">
        <v>255</v>
      </c>
      <c r="CC194" s="20"/>
      <c r="CD194" s="21"/>
      <c r="CE194" s="19">
        <f>CB194</f>
        <v>255</v>
      </c>
      <c r="CF194" s="20"/>
      <c r="CG194" s="21"/>
      <c r="CH194" s="19">
        <f>CE194</f>
        <v>255</v>
      </c>
      <c r="CI194" s="20"/>
      <c r="CJ194" s="21"/>
    </row>
    <row r="195" spans="1:88" ht="18" customHeight="1">
      <c r="A195" s="3"/>
      <c r="B195" s="3"/>
      <c r="C195" s="3"/>
      <c r="D195" s="3"/>
      <c r="E195" s="3" t="s">
        <v>90</v>
      </c>
      <c r="F195" s="3"/>
      <c r="G195" s="3"/>
      <c r="H195" s="126">
        <f>HLOOKUP(S194,AX188:CJ191,AU188,FALSE)</f>
        <v>210</v>
      </c>
      <c r="I195" s="126"/>
      <c r="J195" s="126"/>
      <c r="K195" s="126"/>
      <c r="L195" s="3" t="s">
        <v>101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U195" s="135" t="s">
        <v>16</v>
      </c>
      <c r="AV195" s="136"/>
      <c r="AW195" s="137"/>
      <c r="AX195" s="19">
        <v>125</v>
      </c>
      <c r="AY195" s="20"/>
      <c r="AZ195" s="21"/>
      <c r="BA195" s="19">
        <f>AX195</f>
        <v>125</v>
      </c>
      <c r="BB195" s="20"/>
      <c r="BC195" s="21"/>
      <c r="BD195" s="19">
        <f>AX195</f>
        <v>125</v>
      </c>
      <c r="BE195" s="20"/>
      <c r="BF195" s="21"/>
      <c r="BG195" s="19">
        <v>140</v>
      </c>
      <c r="BH195" s="20"/>
      <c r="BI195" s="21"/>
      <c r="BJ195" s="19">
        <v>175</v>
      </c>
      <c r="BK195" s="20"/>
      <c r="BL195" s="21"/>
      <c r="BM195" s="19">
        <f>BM194</f>
        <v>185</v>
      </c>
      <c r="BN195" s="20"/>
      <c r="BO195" s="21"/>
      <c r="BP195" s="19">
        <v>195</v>
      </c>
      <c r="BQ195" s="20"/>
      <c r="BR195" s="21"/>
      <c r="BS195" s="19">
        <f>BP195</f>
        <v>195</v>
      </c>
      <c r="BT195" s="20"/>
      <c r="BU195" s="21"/>
      <c r="BV195" s="19">
        <f>BP195</f>
        <v>195</v>
      </c>
      <c r="BW195" s="20"/>
      <c r="BX195" s="21"/>
      <c r="BY195" s="19">
        <v>210</v>
      </c>
      <c r="BZ195" s="20"/>
      <c r="CA195" s="21"/>
      <c r="CB195" s="19">
        <v>245</v>
      </c>
      <c r="CC195" s="20"/>
      <c r="CD195" s="21"/>
      <c r="CE195" s="19">
        <f>CB195</f>
        <v>245</v>
      </c>
      <c r="CF195" s="20"/>
      <c r="CG195" s="21"/>
      <c r="CH195" s="19">
        <f>CH194</f>
        <v>255</v>
      </c>
      <c r="CI195" s="20"/>
      <c r="CJ195" s="21"/>
    </row>
    <row r="196" spans="1:88" ht="18" customHeight="1">
      <c r="A196" s="3"/>
      <c r="B196" s="3"/>
      <c r="C196" s="3" t="s">
        <v>24</v>
      </c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 t="s">
        <v>85</v>
      </c>
      <c r="S196" s="33" t="str">
        <f>S194</f>
        <v>SMA490</v>
      </c>
      <c r="T196" s="33"/>
      <c r="U196" s="33"/>
      <c r="V196" s="33"/>
      <c r="W196" s="3" t="s">
        <v>23</v>
      </c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U196" s="135" t="s">
        <v>17</v>
      </c>
      <c r="AV196" s="136"/>
      <c r="AW196" s="137"/>
      <c r="AX196" s="19">
        <v>125</v>
      </c>
      <c r="AY196" s="20"/>
      <c r="AZ196" s="21"/>
      <c r="BA196" s="19">
        <f>AX196</f>
        <v>125</v>
      </c>
      <c r="BB196" s="20"/>
      <c r="BC196" s="21"/>
      <c r="BD196" s="19">
        <f>AX196</f>
        <v>125</v>
      </c>
      <c r="BE196" s="20"/>
      <c r="BF196" s="21"/>
      <c r="BG196" s="19">
        <v>140</v>
      </c>
      <c r="BH196" s="20"/>
      <c r="BI196" s="21"/>
      <c r="BJ196" s="19">
        <v>175</v>
      </c>
      <c r="BK196" s="20"/>
      <c r="BL196" s="21"/>
      <c r="BM196" s="19">
        <f>BM194</f>
        <v>185</v>
      </c>
      <c r="BN196" s="20"/>
      <c r="BO196" s="21"/>
      <c r="BP196" s="19">
        <v>190</v>
      </c>
      <c r="BQ196" s="20"/>
      <c r="BR196" s="21"/>
      <c r="BS196" s="19">
        <f>BP196</f>
        <v>190</v>
      </c>
      <c r="BT196" s="20"/>
      <c r="BU196" s="21"/>
      <c r="BV196" s="19">
        <f>BP196</f>
        <v>190</v>
      </c>
      <c r="BW196" s="20"/>
      <c r="BX196" s="21"/>
      <c r="BY196" s="19">
        <v>210</v>
      </c>
      <c r="BZ196" s="20"/>
      <c r="CA196" s="21"/>
      <c r="CB196" s="19">
        <v>240</v>
      </c>
      <c r="CC196" s="20"/>
      <c r="CD196" s="21"/>
      <c r="CE196" s="19">
        <f>CB196</f>
        <v>240</v>
      </c>
      <c r="CF196" s="20"/>
      <c r="CG196" s="21"/>
      <c r="CH196" s="19">
        <f>CH194</f>
        <v>255</v>
      </c>
      <c r="CI196" s="20"/>
      <c r="CJ196" s="21"/>
    </row>
    <row r="197" spans="1:58" ht="18" customHeight="1">
      <c r="A197" s="3"/>
      <c r="B197" s="3"/>
      <c r="C197" s="3"/>
      <c r="D197" s="3"/>
      <c r="E197" s="33" t="s">
        <v>167</v>
      </c>
      <c r="F197" s="33"/>
      <c r="G197" s="33"/>
      <c r="H197" s="33"/>
      <c r="I197" s="33"/>
      <c r="J197" s="140"/>
      <c r="K197" s="141" t="s">
        <v>91</v>
      </c>
      <c r="L197" s="141"/>
      <c r="M197" s="140"/>
      <c r="N197" s="140"/>
      <c r="O197" s="3"/>
      <c r="P197" s="33" t="s">
        <v>79</v>
      </c>
      <c r="Q197" s="3"/>
      <c r="R197" s="140"/>
      <c r="S197" s="140"/>
      <c r="T197" s="142">
        <f>(AG122+AM122)*1000</f>
        <v>2400</v>
      </c>
      <c r="U197" s="141"/>
      <c r="V197" s="141"/>
      <c r="W197" s="140"/>
      <c r="X197" s="140"/>
      <c r="Y197" s="140"/>
      <c r="Z197" s="140"/>
      <c r="AA197" s="33" t="s">
        <v>79</v>
      </c>
      <c r="AB197" s="33"/>
      <c r="AC197" s="126">
        <f>T197/(R198*U198*Y198)</f>
        <v>18.181818181818183</v>
      </c>
      <c r="AD197" s="126"/>
      <c r="AE197" s="126"/>
      <c r="AF197" s="33" t="s">
        <v>71</v>
      </c>
      <c r="AG197" s="3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U197" s="5" t="s">
        <v>168</v>
      </c>
      <c r="AV197" s="5"/>
      <c r="AW197" s="5"/>
      <c r="AX197" s="5"/>
      <c r="AY197" s="5"/>
      <c r="AZ197" s="5"/>
      <c r="BA197" s="8"/>
      <c r="BB197" s="8"/>
      <c r="BC197" s="8"/>
      <c r="BD197" s="8"/>
      <c r="BE197" s="8"/>
      <c r="BF197" s="3"/>
    </row>
    <row r="198" spans="1:88" ht="18" customHeight="1">
      <c r="A198" s="3"/>
      <c r="B198" s="3"/>
      <c r="C198" s="3"/>
      <c r="D198" s="3"/>
      <c r="E198" s="33"/>
      <c r="F198" s="33"/>
      <c r="G198" s="33"/>
      <c r="H198" s="33"/>
      <c r="I198" s="33"/>
      <c r="J198" s="143">
        <f>HLOOKUP(S196,AX198:CJ201,AU199,FALSE)</f>
        <v>22</v>
      </c>
      <c r="K198" s="144"/>
      <c r="L198" s="3" t="s">
        <v>92</v>
      </c>
      <c r="M198" s="3"/>
      <c r="N198" s="3"/>
      <c r="O198" s="3"/>
      <c r="P198" s="33"/>
      <c r="Q198" s="3"/>
      <c r="R198" s="143">
        <f>J198</f>
        <v>22</v>
      </c>
      <c r="S198" s="144"/>
      <c r="T198" s="3" t="s">
        <v>83</v>
      </c>
      <c r="U198" s="144">
        <f>AF187</f>
        <v>1</v>
      </c>
      <c r="V198" s="144"/>
      <c r="W198" s="144"/>
      <c r="X198" s="3" t="s">
        <v>83</v>
      </c>
      <c r="Y198" s="143">
        <f>C147+1</f>
        <v>6</v>
      </c>
      <c r="Z198" s="144"/>
      <c r="AA198" s="33"/>
      <c r="AB198" s="33"/>
      <c r="AC198" s="126"/>
      <c r="AD198" s="126"/>
      <c r="AE198" s="126"/>
      <c r="AF198" s="33"/>
      <c r="AG198" s="3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U198" s="19">
        <f>AU193</f>
        <v>2</v>
      </c>
      <c r="AV198" s="20"/>
      <c r="AW198" s="21"/>
      <c r="AX198" s="25" t="s">
        <v>4</v>
      </c>
      <c r="AY198" s="26"/>
      <c r="AZ198" s="27"/>
      <c r="BA198" s="28" t="s">
        <v>5</v>
      </c>
      <c r="BB198" s="29"/>
      <c r="BC198" s="30"/>
      <c r="BD198" s="28" t="s">
        <v>6</v>
      </c>
      <c r="BE198" s="29"/>
      <c r="BF198" s="30"/>
      <c r="BG198" s="25" t="s">
        <v>7</v>
      </c>
      <c r="BH198" s="26"/>
      <c r="BI198" s="27"/>
      <c r="BJ198" s="25" t="s">
        <v>88</v>
      </c>
      <c r="BK198" s="26"/>
      <c r="BL198" s="27"/>
      <c r="BM198" s="131" t="s">
        <v>8</v>
      </c>
      <c r="BN198" s="132"/>
      <c r="BO198" s="133"/>
      <c r="BP198" s="25" t="s">
        <v>9</v>
      </c>
      <c r="BQ198" s="26"/>
      <c r="BR198" s="27"/>
      <c r="BS198" s="25" t="s">
        <v>10</v>
      </c>
      <c r="BT198" s="26"/>
      <c r="BU198" s="27"/>
      <c r="BV198" s="25" t="s">
        <v>11</v>
      </c>
      <c r="BW198" s="26"/>
      <c r="BX198" s="27"/>
      <c r="BY198" s="131" t="s">
        <v>12</v>
      </c>
      <c r="BZ198" s="132"/>
      <c r="CA198" s="133"/>
      <c r="CB198" s="25" t="s">
        <v>13</v>
      </c>
      <c r="CC198" s="26"/>
      <c r="CD198" s="27"/>
      <c r="CE198" s="25" t="s">
        <v>14</v>
      </c>
      <c r="CF198" s="26"/>
      <c r="CG198" s="27"/>
      <c r="CH198" s="131" t="s">
        <v>15</v>
      </c>
      <c r="CI198" s="132"/>
      <c r="CJ198" s="133"/>
    </row>
    <row r="199" spans="1:88" ht="18" customHeight="1">
      <c r="A199" s="3"/>
      <c r="B199" s="3"/>
      <c r="C199" s="3"/>
      <c r="D199" s="3"/>
      <c r="E199" s="3"/>
      <c r="F199" s="3"/>
      <c r="G199" s="3" t="s">
        <v>25</v>
      </c>
      <c r="H199" s="3"/>
      <c r="I199" s="3"/>
      <c r="J199" s="3"/>
      <c r="K199" s="3"/>
      <c r="L199" s="3"/>
      <c r="M199" s="3"/>
      <c r="N199" s="3"/>
      <c r="O199" s="65">
        <f>HLOOKUP(S196,AX193:CJ196,AU193,FALSE)</f>
        <v>210</v>
      </c>
      <c r="P199" s="65"/>
      <c r="Q199" s="65"/>
      <c r="R199" s="65"/>
      <c r="S199" s="3" t="s">
        <v>101</v>
      </c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U199" s="19">
        <v>2</v>
      </c>
      <c r="AV199" s="20"/>
      <c r="AW199" s="21"/>
      <c r="AX199" s="16">
        <v>28</v>
      </c>
      <c r="AY199" s="16"/>
      <c r="AZ199" s="16"/>
      <c r="BA199" s="18">
        <f>AX199</f>
        <v>28</v>
      </c>
      <c r="BB199" s="18"/>
      <c r="BC199" s="18"/>
      <c r="BD199" s="18">
        <f>AX199</f>
        <v>28</v>
      </c>
      <c r="BE199" s="18"/>
      <c r="BF199" s="18"/>
      <c r="BG199" s="16">
        <f>BA199</f>
        <v>28</v>
      </c>
      <c r="BH199" s="16"/>
      <c r="BI199" s="16"/>
      <c r="BJ199" s="17">
        <v>24</v>
      </c>
      <c r="BK199" s="17"/>
      <c r="BL199" s="17"/>
      <c r="BM199" s="17">
        <f>BJ199</f>
        <v>24</v>
      </c>
      <c r="BN199" s="17"/>
      <c r="BO199" s="17"/>
      <c r="BP199" s="17">
        <v>22</v>
      </c>
      <c r="BQ199" s="17"/>
      <c r="BR199" s="17"/>
      <c r="BS199" s="17">
        <f>BP199</f>
        <v>22</v>
      </c>
      <c r="BT199" s="17"/>
      <c r="BU199" s="17"/>
      <c r="BV199" s="17">
        <f>BP199</f>
        <v>22</v>
      </c>
      <c r="BW199" s="17"/>
      <c r="BX199" s="17"/>
      <c r="BY199" s="16">
        <f>BP199</f>
        <v>22</v>
      </c>
      <c r="BZ199" s="16"/>
      <c r="CA199" s="16"/>
      <c r="CB199" s="16">
        <v>22</v>
      </c>
      <c r="CC199" s="16"/>
      <c r="CD199" s="16"/>
      <c r="CE199" s="16">
        <f>CB199</f>
        <v>22</v>
      </c>
      <c r="CF199" s="16"/>
      <c r="CG199" s="16"/>
      <c r="CH199" s="16">
        <f>CB199</f>
        <v>22</v>
      </c>
      <c r="CI199" s="16"/>
      <c r="CJ199" s="16"/>
    </row>
    <row r="200" spans="1:88" ht="18" customHeight="1">
      <c r="A200" s="3"/>
      <c r="B200" s="3"/>
      <c r="C200" s="3"/>
      <c r="D200" s="3"/>
      <c r="E200" s="140"/>
      <c r="F200" s="141" t="s">
        <v>91</v>
      </c>
      <c r="G200" s="141"/>
      <c r="H200" s="140"/>
      <c r="I200" s="3"/>
      <c r="J200" s="33" t="s">
        <v>93</v>
      </c>
      <c r="K200" s="33" t="s">
        <v>167</v>
      </c>
      <c r="L200" s="33"/>
      <c r="M200" s="33"/>
      <c r="N200" s="33"/>
      <c r="O200" s="33"/>
      <c r="P200" s="140"/>
      <c r="Q200" s="141" t="s">
        <v>91</v>
      </c>
      <c r="R200" s="141"/>
      <c r="S200" s="140"/>
      <c r="T200" s="3"/>
      <c r="U200" s="33" t="s">
        <v>79</v>
      </c>
      <c r="V200" s="140"/>
      <c r="W200" s="140"/>
      <c r="X200" s="142">
        <f>(AG122+AM122)*1000</f>
        <v>2400</v>
      </c>
      <c r="Y200" s="141"/>
      <c r="Z200" s="141"/>
      <c r="AA200" s="140"/>
      <c r="AB200" s="140"/>
      <c r="AC200" s="140"/>
      <c r="AD200" s="140"/>
      <c r="AE200" s="33" t="s">
        <v>79</v>
      </c>
      <c r="AF200" s="126">
        <f>X200/(V201*Y201*AC201)</f>
        <v>8.695652173913043</v>
      </c>
      <c r="AG200" s="126"/>
      <c r="AH200" s="126"/>
      <c r="AI200" s="33" t="s">
        <v>71</v>
      </c>
      <c r="AJ200" s="33"/>
      <c r="AK200" s="3"/>
      <c r="AL200" s="3"/>
      <c r="AM200" s="3"/>
      <c r="AN200" s="3"/>
      <c r="AO200" s="3"/>
      <c r="AP200" s="3"/>
      <c r="AQ200" s="3"/>
      <c r="AR200" s="3"/>
      <c r="AS200" s="3"/>
      <c r="AU200" s="19">
        <v>3</v>
      </c>
      <c r="AV200" s="20"/>
      <c r="AW200" s="21"/>
      <c r="AX200" s="22">
        <f>IF(AU198=2,2.6,2.1)</f>
        <v>2.6</v>
      </c>
      <c r="AY200" s="22"/>
      <c r="AZ200" s="22"/>
      <c r="BA200" s="24">
        <f>AX200</f>
        <v>2.6</v>
      </c>
      <c r="BB200" s="24"/>
      <c r="BC200" s="24"/>
      <c r="BD200" s="24">
        <f>AX200</f>
        <v>2.6</v>
      </c>
      <c r="BE200" s="24"/>
      <c r="BF200" s="24"/>
      <c r="BG200" s="22">
        <f>BA200</f>
        <v>2.6</v>
      </c>
      <c r="BH200" s="22"/>
      <c r="BI200" s="22"/>
      <c r="BJ200" s="23">
        <f>IF(AU198=2,3.9,3.5)</f>
        <v>3.9</v>
      </c>
      <c r="BK200" s="23"/>
      <c r="BL200" s="23"/>
      <c r="BM200" s="23">
        <f>BJ200</f>
        <v>3.9</v>
      </c>
      <c r="BN200" s="23"/>
      <c r="BO200" s="23"/>
      <c r="BP200" s="23">
        <f>IF(AU198=2,4.6,IF(AU198=3,4,3.7))</f>
        <v>4.6</v>
      </c>
      <c r="BQ200" s="23"/>
      <c r="BR200" s="23"/>
      <c r="BS200" s="23">
        <f>BP200</f>
        <v>4.6</v>
      </c>
      <c r="BT200" s="23"/>
      <c r="BU200" s="23"/>
      <c r="BV200" s="23">
        <f>BP200</f>
        <v>4.6</v>
      </c>
      <c r="BW200" s="23"/>
      <c r="BX200" s="23"/>
      <c r="BY200" s="22">
        <f>BP200</f>
        <v>4.6</v>
      </c>
      <c r="BZ200" s="22"/>
      <c r="CA200" s="22"/>
      <c r="CB200" s="22">
        <f>IF(AU198=2,6.9,IF(AU198=3,6.2,6))</f>
        <v>6.9</v>
      </c>
      <c r="CC200" s="22"/>
      <c r="CD200" s="22"/>
      <c r="CE200" s="22">
        <f>CB200</f>
        <v>6.9</v>
      </c>
      <c r="CF200" s="22"/>
      <c r="CG200" s="22"/>
      <c r="CH200" s="22">
        <f>CB200</f>
        <v>6.9</v>
      </c>
      <c r="CI200" s="22"/>
      <c r="CJ200" s="22"/>
    </row>
    <row r="201" spans="1:88" ht="18" customHeight="1">
      <c r="A201" s="3"/>
      <c r="B201" s="3"/>
      <c r="C201" s="3"/>
      <c r="D201" s="3"/>
      <c r="E201" s="143">
        <f>HLOOKUP(S196,AX198:CJ201,AU199,FALSE)</f>
        <v>22</v>
      </c>
      <c r="F201" s="144"/>
      <c r="G201" s="3" t="s">
        <v>92</v>
      </c>
      <c r="H201" s="3"/>
      <c r="I201" s="3"/>
      <c r="J201" s="33"/>
      <c r="K201" s="33"/>
      <c r="L201" s="33"/>
      <c r="M201" s="33"/>
      <c r="N201" s="33"/>
      <c r="O201" s="33"/>
      <c r="P201" s="143">
        <f>HLOOKUP(S196,AX198:CJ201,AU201,FALSE)</f>
        <v>46</v>
      </c>
      <c r="Q201" s="144"/>
      <c r="R201" s="3" t="s">
        <v>92</v>
      </c>
      <c r="S201" s="3"/>
      <c r="T201" s="3"/>
      <c r="U201" s="33"/>
      <c r="V201" s="143">
        <f>P201</f>
        <v>46</v>
      </c>
      <c r="W201" s="144"/>
      <c r="X201" s="3" t="s">
        <v>83</v>
      </c>
      <c r="Y201" s="144">
        <f>AF187</f>
        <v>1</v>
      </c>
      <c r="Z201" s="144"/>
      <c r="AA201" s="144"/>
      <c r="AB201" s="3" t="s">
        <v>83</v>
      </c>
      <c r="AC201" s="143">
        <f>C147+1</f>
        <v>6</v>
      </c>
      <c r="AD201" s="144"/>
      <c r="AE201" s="33"/>
      <c r="AF201" s="126"/>
      <c r="AG201" s="126"/>
      <c r="AH201" s="126"/>
      <c r="AI201" s="33"/>
      <c r="AJ201" s="33"/>
      <c r="AK201" s="3"/>
      <c r="AL201" s="3"/>
      <c r="AM201" s="3"/>
      <c r="AN201" s="3"/>
      <c r="AO201" s="3"/>
      <c r="AP201" s="3"/>
      <c r="AQ201" s="3"/>
      <c r="AR201" s="3"/>
      <c r="AS201" s="3"/>
      <c r="AU201" s="19">
        <v>4</v>
      </c>
      <c r="AV201" s="20"/>
      <c r="AW201" s="21"/>
      <c r="AX201" s="16">
        <f>IF(AU198=2,56,58)</f>
        <v>56</v>
      </c>
      <c r="AY201" s="16"/>
      <c r="AZ201" s="16"/>
      <c r="BA201" s="18">
        <f>AX201</f>
        <v>56</v>
      </c>
      <c r="BB201" s="18"/>
      <c r="BC201" s="18"/>
      <c r="BD201" s="18">
        <f>AX201</f>
        <v>56</v>
      </c>
      <c r="BE201" s="18"/>
      <c r="BF201" s="18"/>
      <c r="BG201" s="16">
        <f>BA201</f>
        <v>56</v>
      </c>
      <c r="BH201" s="16"/>
      <c r="BI201" s="16"/>
      <c r="BJ201" s="17">
        <f>IF(AU198=2,48,50)</f>
        <v>48</v>
      </c>
      <c r="BK201" s="17"/>
      <c r="BL201" s="17"/>
      <c r="BM201" s="17">
        <f>BJ201</f>
        <v>48</v>
      </c>
      <c r="BN201" s="17"/>
      <c r="BO201" s="17"/>
      <c r="BP201" s="17">
        <f>IF(AU198=2,46,IF(AU198=3,46,48))</f>
        <v>46</v>
      </c>
      <c r="BQ201" s="17"/>
      <c r="BR201" s="17"/>
      <c r="BS201" s="17">
        <f>BP201</f>
        <v>46</v>
      </c>
      <c r="BT201" s="17"/>
      <c r="BU201" s="17"/>
      <c r="BV201" s="17">
        <f>BP201</f>
        <v>46</v>
      </c>
      <c r="BW201" s="17"/>
      <c r="BX201" s="17"/>
      <c r="BY201" s="16">
        <f>BP201</f>
        <v>46</v>
      </c>
      <c r="BZ201" s="16"/>
      <c r="CA201" s="16"/>
      <c r="CB201" s="16">
        <f>IF(AU198=2,40,IF(AU198=3,42,42))</f>
        <v>40</v>
      </c>
      <c r="CC201" s="16"/>
      <c r="CD201" s="16"/>
      <c r="CE201" s="16">
        <f>CB201</f>
        <v>40</v>
      </c>
      <c r="CF201" s="16"/>
      <c r="CG201" s="16"/>
      <c r="CH201" s="16">
        <f>CB201</f>
        <v>40</v>
      </c>
      <c r="CI201" s="16"/>
      <c r="CJ201" s="16"/>
    </row>
    <row r="202" spans="1:58" ht="18" customHeight="1">
      <c r="A202" s="3"/>
      <c r="B202" s="3"/>
      <c r="C202" s="3"/>
      <c r="D202" s="3"/>
      <c r="E202" s="3"/>
      <c r="F202" s="3"/>
      <c r="G202" s="3" t="s">
        <v>25</v>
      </c>
      <c r="H202" s="3"/>
      <c r="I202" s="3"/>
      <c r="J202" s="3"/>
      <c r="K202" s="3"/>
      <c r="L202" s="3"/>
      <c r="M202" s="3"/>
      <c r="N202" s="3"/>
      <c r="O202" s="127">
        <f>O199</f>
        <v>210</v>
      </c>
      <c r="P202" s="33"/>
      <c r="Q202" s="33"/>
      <c r="R202" s="3" t="s">
        <v>72</v>
      </c>
      <c r="S202" s="127">
        <f>HLOOKUP(S196,AX198:CJ201,AU200,FALSE)</f>
        <v>4.6</v>
      </c>
      <c r="T202" s="33"/>
      <c r="U202" s="3" t="s">
        <v>85</v>
      </c>
      <c r="V202" s="3" t="s">
        <v>94</v>
      </c>
      <c r="W202" s="3"/>
      <c r="X202" s="3"/>
      <c r="Y202" s="3"/>
      <c r="Z202" s="3"/>
      <c r="AA202" s="3"/>
      <c r="AB202" s="145">
        <f>E201</f>
        <v>22</v>
      </c>
      <c r="AC202" s="1"/>
      <c r="AD202" s="3" t="s">
        <v>89</v>
      </c>
      <c r="AE202" s="3" t="s">
        <v>79</v>
      </c>
      <c r="AF202" s="65">
        <f>ROUND(O202-S202*(X200/(AG128*1000*AF187*(C147+1))-AB202),3)</f>
        <v>188.533</v>
      </c>
      <c r="AG202" s="65"/>
      <c r="AH202" s="65"/>
      <c r="AI202" s="65"/>
      <c r="AJ202" s="3" t="s">
        <v>101</v>
      </c>
      <c r="AK202" s="3"/>
      <c r="AL202" s="3"/>
      <c r="AM202" s="3"/>
      <c r="AN202" s="3"/>
      <c r="AO202" s="3"/>
      <c r="AP202" s="3"/>
      <c r="AQ202" s="3"/>
      <c r="AR202" s="3"/>
      <c r="AS202" s="3"/>
      <c r="BA202" s="3"/>
      <c r="BB202" s="3"/>
      <c r="BC202" s="3"/>
      <c r="BD202" s="3"/>
      <c r="BE202" s="3"/>
      <c r="BF202" s="3"/>
    </row>
    <row r="203" spans="1:45" ht="18" customHeight="1">
      <c r="A203" s="3"/>
      <c r="B203" s="3"/>
      <c r="C203" s="3"/>
      <c r="D203" s="3"/>
      <c r="E203" s="140"/>
      <c r="F203" s="141" t="s">
        <v>91</v>
      </c>
      <c r="G203" s="141"/>
      <c r="H203" s="140"/>
      <c r="I203" s="3"/>
      <c r="J203" s="33" t="s">
        <v>93</v>
      </c>
      <c r="K203" s="33" t="s">
        <v>167</v>
      </c>
      <c r="L203" s="33"/>
      <c r="M203" s="33"/>
      <c r="N203" s="33"/>
      <c r="O203" s="33"/>
      <c r="P203" s="140"/>
      <c r="Q203" s="141" t="s">
        <v>91</v>
      </c>
      <c r="R203" s="141"/>
      <c r="S203" s="140"/>
      <c r="T203" s="3"/>
      <c r="U203" s="33" t="s">
        <v>79</v>
      </c>
      <c r="V203" s="140"/>
      <c r="W203" s="140"/>
      <c r="X203" s="142">
        <f>(AG122+AM122)*1000</f>
        <v>2400</v>
      </c>
      <c r="Y203" s="141"/>
      <c r="Z203" s="141"/>
      <c r="AA203" s="140"/>
      <c r="AB203" s="140"/>
      <c r="AC203" s="140"/>
      <c r="AD203" s="140"/>
      <c r="AE203" s="33" t="s">
        <v>79</v>
      </c>
      <c r="AF203" s="126">
        <f>X203/(V204*Y204*AC204)</f>
        <v>5</v>
      </c>
      <c r="AG203" s="126"/>
      <c r="AH203" s="126"/>
      <c r="AI203" s="33" t="s">
        <v>71</v>
      </c>
      <c r="AJ203" s="33"/>
      <c r="AK203" s="3"/>
      <c r="AL203" s="3"/>
      <c r="AM203" s="3"/>
      <c r="AN203" s="3"/>
      <c r="AO203" s="3"/>
      <c r="AP203" s="3"/>
      <c r="AQ203" s="3"/>
      <c r="AR203" s="3"/>
      <c r="AS203" s="3"/>
    </row>
    <row r="204" spans="1:45" ht="18" customHeight="1">
      <c r="A204" s="3"/>
      <c r="B204" s="3"/>
      <c r="C204" s="3"/>
      <c r="D204" s="3"/>
      <c r="E204" s="143">
        <f>P201</f>
        <v>46</v>
      </c>
      <c r="F204" s="144"/>
      <c r="G204" s="3" t="s">
        <v>92</v>
      </c>
      <c r="H204" s="3"/>
      <c r="I204" s="3"/>
      <c r="J204" s="33"/>
      <c r="K204" s="33"/>
      <c r="L204" s="33"/>
      <c r="M204" s="33"/>
      <c r="N204" s="33"/>
      <c r="O204" s="33"/>
      <c r="P204" s="143">
        <v>80</v>
      </c>
      <c r="Q204" s="144"/>
      <c r="R204" s="3" t="s">
        <v>92</v>
      </c>
      <c r="S204" s="3"/>
      <c r="T204" s="3"/>
      <c r="U204" s="33"/>
      <c r="V204" s="143">
        <f>P204</f>
        <v>80</v>
      </c>
      <c r="W204" s="144"/>
      <c r="X204" s="3" t="s">
        <v>83</v>
      </c>
      <c r="Y204" s="144">
        <f>AF187</f>
        <v>1</v>
      </c>
      <c r="Z204" s="144"/>
      <c r="AA204" s="144"/>
      <c r="AB204" s="3" t="s">
        <v>83</v>
      </c>
      <c r="AC204" s="143">
        <f>C147+1</f>
        <v>6</v>
      </c>
      <c r="AD204" s="144"/>
      <c r="AE204" s="33"/>
      <c r="AF204" s="126"/>
      <c r="AG204" s="126"/>
      <c r="AH204" s="126"/>
      <c r="AI204" s="33"/>
      <c r="AJ204" s="33"/>
      <c r="AK204" s="3"/>
      <c r="AL204" s="3"/>
      <c r="AM204" s="3"/>
      <c r="AN204" s="3"/>
      <c r="AO204" s="3"/>
      <c r="AP204" s="3"/>
      <c r="AQ204" s="3"/>
      <c r="AR204" s="3"/>
      <c r="AS204" s="3"/>
    </row>
    <row r="205" spans="1:47" ht="18" customHeight="1">
      <c r="A205" s="3"/>
      <c r="B205" s="3"/>
      <c r="C205" s="3"/>
      <c r="D205" s="3"/>
      <c r="E205" s="3"/>
      <c r="F205" s="3"/>
      <c r="G205" s="3" t="s">
        <v>25</v>
      </c>
      <c r="H205" s="3"/>
      <c r="I205" s="3"/>
      <c r="J205" s="3"/>
      <c r="K205" s="3"/>
      <c r="L205" s="3"/>
      <c r="M205" s="3"/>
      <c r="N205" s="127">
        <f>210000</f>
        <v>210000</v>
      </c>
      <c r="O205" s="127"/>
      <c r="P205" s="127"/>
      <c r="Q205" s="127"/>
      <c r="R205" s="3" t="s">
        <v>83</v>
      </c>
      <c r="S205" s="3" t="s">
        <v>95</v>
      </c>
      <c r="T205" s="3"/>
      <c r="U205" s="3"/>
      <c r="V205" s="3"/>
      <c r="W205" s="3"/>
      <c r="X205" s="3"/>
      <c r="Y205" s="3"/>
      <c r="Z205" s="3" t="s">
        <v>79</v>
      </c>
      <c r="AA205" s="33">
        <f>N205*(AG128*1000*Y204*AC204/X203)^2</f>
        <v>295.3125</v>
      </c>
      <c r="AB205" s="33"/>
      <c r="AC205" s="33"/>
      <c r="AD205" s="33"/>
      <c r="AE205" s="3"/>
      <c r="AF205" s="3" t="s">
        <v>101</v>
      </c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U205" s="61"/>
    </row>
    <row r="206" spans="1:45" ht="18" customHeight="1">
      <c r="A206" s="3"/>
      <c r="B206" s="3"/>
      <c r="C206" s="3"/>
      <c r="D206" s="3"/>
      <c r="E206" s="3" t="s">
        <v>26</v>
      </c>
      <c r="F206" s="3"/>
      <c r="G206" s="3"/>
      <c r="H206" s="3"/>
      <c r="I206" s="3"/>
      <c r="J206" s="126">
        <f>AG128*1000</f>
        <v>15</v>
      </c>
      <c r="K206" s="126"/>
      <c r="L206" s="126"/>
      <c r="M206" s="2" t="s">
        <v>145</v>
      </c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</row>
    <row r="207" spans="1:45" ht="18" customHeight="1">
      <c r="A207" s="3"/>
      <c r="B207" s="3"/>
      <c r="C207" s="3"/>
      <c r="D207" s="3"/>
      <c r="E207" s="3" t="s">
        <v>27</v>
      </c>
      <c r="F207" s="3"/>
      <c r="G207" s="3"/>
      <c r="H207" s="3"/>
      <c r="I207" s="3"/>
      <c r="J207" s="3"/>
      <c r="K207" s="3"/>
      <c r="L207" s="33">
        <f>IF(J206&gt;=AC197,O199,IF(J206&gt;=AF200,AF202,IF(J206&gt;=AF203,AA205,"확인 요망")))</f>
        <v>188.533</v>
      </c>
      <c r="M207" s="33"/>
      <c r="N207" s="33"/>
      <c r="O207" s="33"/>
      <c r="P207" s="3" t="s">
        <v>101</v>
      </c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</row>
    <row r="208" spans="1:45" ht="18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</row>
    <row r="209" spans="1:45" ht="18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</row>
    <row r="210" spans="1:46" ht="18" customHeight="1">
      <c r="A210" s="3"/>
      <c r="B210" s="3"/>
      <c r="C210" s="146" t="s">
        <v>42</v>
      </c>
      <c r="D210" s="147"/>
      <c r="E210" s="147"/>
      <c r="F210" s="147"/>
      <c r="G210" s="147"/>
      <c r="H210" s="146" t="s">
        <v>43</v>
      </c>
      <c r="I210" s="147"/>
      <c r="J210" s="147"/>
      <c r="K210" s="147"/>
      <c r="L210" s="147"/>
      <c r="M210" s="147"/>
      <c r="N210" s="147"/>
      <c r="O210" s="147"/>
      <c r="P210" s="147"/>
      <c r="Q210" s="147"/>
      <c r="R210" s="147"/>
      <c r="S210" s="147"/>
      <c r="T210" s="147"/>
      <c r="U210" s="147"/>
      <c r="V210" s="147"/>
      <c r="W210" s="147"/>
      <c r="X210" s="147"/>
      <c r="Y210" s="147"/>
      <c r="Z210" s="147"/>
      <c r="AA210" s="147"/>
      <c r="AB210" s="147" t="s">
        <v>96</v>
      </c>
      <c r="AC210" s="147"/>
      <c r="AD210" s="147"/>
      <c r="AE210" s="147"/>
      <c r="AF210" s="147"/>
      <c r="AG210" s="147"/>
      <c r="AH210" s="147"/>
      <c r="AI210" s="147"/>
      <c r="AJ210" s="146" t="s">
        <v>44</v>
      </c>
      <c r="AK210" s="147"/>
      <c r="AL210" s="147"/>
      <c r="AM210" s="147"/>
      <c r="AN210" s="147"/>
      <c r="AO210" s="147"/>
      <c r="AP210" s="147"/>
      <c r="AQ210" s="147"/>
      <c r="AR210" s="148"/>
      <c r="AS210" s="148"/>
      <c r="AT210" s="139"/>
    </row>
    <row r="211" spans="1:46" ht="18" customHeight="1">
      <c r="A211" s="3"/>
      <c r="B211" s="3"/>
      <c r="C211" s="147"/>
      <c r="D211" s="147"/>
      <c r="E211" s="147"/>
      <c r="F211" s="147"/>
      <c r="G211" s="147"/>
      <c r="H211" s="146" t="s">
        <v>169</v>
      </c>
      <c r="I211" s="147"/>
      <c r="J211" s="147"/>
      <c r="K211" s="147"/>
      <c r="L211" s="147"/>
      <c r="M211" s="147"/>
      <c r="N211" s="147"/>
      <c r="O211" s="147"/>
      <c r="P211" s="147"/>
      <c r="Q211" s="147"/>
      <c r="R211" s="146" t="s">
        <v>170</v>
      </c>
      <c r="S211" s="147"/>
      <c r="T211" s="147"/>
      <c r="U211" s="147"/>
      <c r="V211" s="147"/>
      <c r="W211" s="147"/>
      <c r="X211" s="147"/>
      <c r="Y211" s="147"/>
      <c r="Z211" s="147"/>
      <c r="AA211" s="147"/>
      <c r="AB211" s="147"/>
      <c r="AC211" s="147"/>
      <c r="AD211" s="147"/>
      <c r="AE211" s="147"/>
      <c r="AF211" s="147"/>
      <c r="AG211" s="147"/>
      <c r="AH211" s="147"/>
      <c r="AI211" s="147"/>
      <c r="AJ211" s="146" t="s">
        <v>45</v>
      </c>
      <c r="AK211" s="147"/>
      <c r="AL211" s="147"/>
      <c r="AM211" s="147"/>
      <c r="AN211" s="147"/>
      <c r="AO211" s="147"/>
      <c r="AP211" s="147"/>
      <c r="AQ211" s="147"/>
      <c r="AR211" s="148"/>
      <c r="AS211" s="148"/>
      <c r="AT211" s="139"/>
    </row>
    <row r="212" spans="1:46" ht="18" customHeight="1">
      <c r="A212" s="3"/>
      <c r="B212" s="3"/>
      <c r="C212" s="147"/>
      <c r="D212" s="147"/>
      <c r="E212" s="147"/>
      <c r="F212" s="147"/>
      <c r="G212" s="147"/>
      <c r="H212" s="149" t="s">
        <v>46</v>
      </c>
      <c r="I212" s="81"/>
      <c r="J212" s="81"/>
      <c r="K212" s="81"/>
      <c r="L212" s="86"/>
      <c r="M212" s="149" t="s">
        <v>47</v>
      </c>
      <c r="N212" s="81"/>
      <c r="O212" s="81"/>
      <c r="P212" s="81"/>
      <c r="Q212" s="86"/>
      <c r="R212" s="149" t="s">
        <v>46</v>
      </c>
      <c r="S212" s="81"/>
      <c r="T212" s="81"/>
      <c r="U212" s="81"/>
      <c r="V212" s="86"/>
      <c r="W212" s="149" t="s">
        <v>47</v>
      </c>
      <c r="X212" s="81"/>
      <c r="Y212" s="81"/>
      <c r="Z212" s="81"/>
      <c r="AA212" s="86"/>
      <c r="AB212" s="146" t="s">
        <v>46</v>
      </c>
      <c r="AC212" s="147"/>
      <c r="AD212" s="147"/>
      <c r="AE212" s="147"/>
      <c r="AF212" s="146" t="s">
        <v>47</v>
      </c>
      <c r="AG212" s="147"/>
      <c r="AH212" s="147"/>
      <c r="AI212" s="147"/>
      <c r="AJ212" s="146" t="s">
        <v>46</v>
      </c>
      <c r="AK212" s="147"/>
      <c r="AL212" s="147"/>
      <c r="AM212" s="147"/>
      <c r="AN212" s="146" t="s">
        <v>47</v>
      </c>
      <c r="AO212" s="147"/>
      <c r="AP212" s="147"/>
      <c r="AQ212" s="147"/>
      <c r="AR212" s="148"/>
      <c r="AS212" s="148"/>
      <c r="AT212" s="139"/>
    </row>
    <row r="213" spans="1:47" ht="18" customHeight="1">
      <c r="A213" s="3"/>
      <c r="B213" s="3"/>
      <c r="C213" s="150">
        <v>1</v>
      </c>
      <c r="D213" s="150"/>
      <c r="E213" s="150"/>
      <c r="F213" s="150"/>
      <c r="G213" s="150"/>
      <c r="H213" s="147">
        <f>M173</f>
        <v>-36.219959088123176</v>
      </c>
      <c r="I213" s="147"/>
      <c r="J213" s="147"/>
      <c r="K213" s="147"/>
      <c r="L213" s="147"/>
      <c r="M213" s="147">
        <f>M174</f>
        <v>41.933230796251195</v>
      </c>
      <c r="N213" s="147"/>
      <c r="O213" s="147"/>
      <c r="P213" s="147"/>
      <c r="Q213" s="147"/>
      <c r="R213" s="147">
        <f>IF(H213&gt;=0,H195,L207)</f>
        <v>188.533</v>
      </c>
      <c r="S213" s="147"/>
      <c r="T213" s="147"/>
      <c r="U213" s="147"/>
      <c r="V213" s="147"/>
      <c r="W213" s="147">
        <f>IF(M213&gt;=0,H195,L207)</f>
        <v>210</v>
      </c>
      <c r="X213" s="147"/>
      <c r="Y213" s="147"/>
      <c r="Z213" s="147"/>
      <c r="AA213" s="147"/>
      <c r="AB213" s="147">
        <f>(H213/R213)^2</f>
        <v>0.03690805459955877</v>
      </c>
      <c r="AC213" s="147"/>
      <c r="AD213" s="147"/>
      <c r="AE213" s="147"/>
      <c r="AF213" s="147">
        <f>(M213/W213)^2</f>
        <v>0.03987292165559342</v>
      </c>
      <c r="AG213" s="147"/>
      <c r="AH213" s="147"/>
      <c r="AI213" s="147"/>
      <c r="AJ213" s="147">
        <f>(H213/R213)^2+(Z183/AJ183)^2</f>
        <v>0.04776799427809985</v>
      </c>
      <c r="AK213" s="147"/>
      <c r="AL213" s="147"/>
      <c r="AM213" s="147"/>
      <c r="AN213" s="147">
        <f>(M213/W213)^2+(Z183/AJ183)^2</f>
        <v>0.050732861334134495</v>
      </c>
      <c r="AO213" s="147"/>
      <c r="AP213" s="147"/>
      <c r="AQ213" s="147"/>
      <c r="AR213" s="148"/>
      <c r="AS213" s="148"/>
      <c r="AT213" s="139"/>
      <c r="AU213" s="151"/>
    </row>
    <row r="214" spans="1:46" ht="18" customHeight="1">
      <c r="A214" s="3"/>
      <c r="B214" s="3"/>
      <c r="C214" s="150" t="s">
        <v>61</v>
      </c>
      <c r="D214" s="150"/>
      <c r="E214" s="150"/>
      <c r="F214" s="150"/>
      <c r="G214" s="150"/>
      <c r="H214" s="147">
        <f>M173+N178</f>
        <v>-60.11313261207261</v>
      </c>
      <c r="I214" s="147"/>
      <c r="J214" s="147"/>
      <c r="K214" s="147"/>
      <c r="L214" s="147"/>
      <c r="M214" s="147">
        <f>M174+N179</f>
        <v>69.59527087191731</v>
      </c>
      <c r="N214" s="147"/>
      <c r="O214" s="147"/>
      <c r="P214" s="147"/>
      <c r="Q214" s="147"/>
      <c r="R214" s="147">
        <f>R213</f>
        <v>188.533</v>
      </c>
      <c r="S214" s="147"/>
      <c r="T214" s="147"/>
      <c r="U214" s="147"/>
      <c r="V214" s="147"/>
      <c r="W214" s="147">
        <f>W213</f>
        <v>210</v>
      </c>
      <c r="X214" s="147"/>
      <c r="Y214" s="147"/>
      <c r="Z214" s="147"/>
      <c r="AA214" s="147"/>
      <c r="AB214" s="147">
        <f>(H214/R214)^2</f>
        <v>0.10166324421628409</v>
      </c>
      <c r="AC214" s="147"/>
      <c r="AD214" s="147"/>
      <c r="AE214" s="147"/>
      <c r="AF214" s="147">
        <f>(M214/W214)^2</f>
        <v>0.10982997115046578</v>
      </c>
      <c r="AG214" s="147"/>
      <c r="AH214" s="147"/>
      <c r="AI214" s="147"/>
      <c r="AJ214" s="147">
        <f>(H214/R214)^2+(Z183/AJ183)^2</f>
        <v>0.11252318389482516</v>
      </c>
      <c r="AK214" s="147"/>
      <c r="AL214" s="147"/>
      <c r="AM214" s="147"/>
      <c r="AN214" s="147">
        <f>(M214/W214)^2+(Z183/AJ183)^2</f>
        <v>0.12068991082900685</v>
      </c>
      <c r="AO214" s="147"/>
      <c r="AP214" s="147"/>
      <c r="AQ214" s="147"/>
      <c r="AR214" s="148"/>
      <c r="AS214" s="148"/>
      <c r="AT214" s="139"/>
    </row>
    <row r="215" spans="1:45" ht="18" customHeight="1">
      <c r="A215" s="3"/>
      <c r="B215" s="3"/>
      <c r="C215" s="3" t="s">
        <v>48</v>
      </c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134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</row>
    <row r="216" spans="1:45" ht="18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</row>
    <row r="217" spans="1:45" ht="18" customHeight="1">
      <c r="A217" s="3"/>
      <c r="B217" s="3" t="s">
        <v>62</v>
      </c>
      <c r="C217" s="3"/>
      <c r="D217" s="3"/>
      <c r="E217" s="3"/>
      <c r="F217" s="3"/>
      <c r="G217" s="3"/>
      <c r="H217" s="3"/>
      <c r="I217" s="3"/>
      <c r="J217" s="3"/>
      <c r="K217" s="134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</row>
    <row r="218" spans="1:45" ht="18" customHeight="1">
      <c r="A218" s="3"/>
      <c r="B218" s="3"/>
      <c r="C218" s="3"/>
      <c r="D218" s="3"/>
      <c r="E218" s="3" t="s">
        <v>49</v>
      </c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</row>
    <row r="219" spans="1:45" ht="18" customHeight="1">
      <c r="A219" s="3"/>
      <c r="B219" s="3"/>
      <c r="C219" s="3"/>
      <c r="D219" s="3"/>
      <c r="E219" s="3"/>
      <c r="F219" s="152" t="s">
        <v>85</v>
      </c>
      <c r="G219" s="141" t="s">
        <v>97</v>
      </c>
      <c r="H219" s="141"/>
      <c r="I219" s="153">
        <v>0</v>
      </c>
      <c r="J219" s="33"/>
      <c r="K219" s="33"/>
      <c r="L219" s="33"/>
      <c r="M219" s="141" t="s">
        <v>98</v>
      </c>
      <c r="N219" s="141"/>
      <c r="O219" s="154">
        <v>0</v>
      </c>
      <c r="P219" s="33"/>
      <c r="Q219" s="33" t="s">
        <v>79</v>
      </c>
      <c r="R219" s="152" t="s">
        <v>85</v>
      </c>
      <c r="S219" s="141">
        <f>IF(AB213=R221,H213,IF(AB214=R221,H214,"ERROR"))</f>
        <v>-60.11313261207261</v>
      </c>
      <c r="T219" s="141"/>
      <c r="U219" s="141"/>
      <c r="V219" s="141"/>
      <c r="W219" s="141"/>
      <c r="X219" s="154">
        <v>0</v>
      </c>
      <c r="Y219" s="33"/>
      <c r="Z219" s="33" t="s">
        <v>78</v>
      </c>
      <c r="AA219" s="152" t="s">
        <v>85</v>
      </c>
      <c r="AB219" s="141">
        <f>Z183</f>
        <v>12.505324120989089</v>
      </c>
      <c r="AC219" s="141"/>
      <c r="AD219" s="141"/>
      <c r="AE219" s="141"/>
      <c r="AF219" s="141"/>
      <c r="AG219" s="154">
        <v>0</v>
      </c>
      <c r="AH219" s="3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</row>
    <row r="220" spans="1:45" ht="18" customHeight="1">
      <c r="A220" s="3"/>
      <c r="B220" s="3"/>
      <c r="C220" s="3"/>
      <c r="D220" s="3"/>
      <c r="E220" s="3"/>
      <c r="F220" s="33"/>
      <c r="G220" s="144" t="s">
        <v>99</v>
      </c>
      <c r="H220" s="144"/>
      <c r="I220" s="33"/>
      <c r="J220" s="33"/>
      <c r="K220" s="33"/>
      <c r="L220" s="33"/>
      <c r="M220" s="144" t="s">
        <v>100</v>
      </c>
      <c r="N220" s="144"/>
      <c r="O220" s="33"/>
      <c r="P220" s="33"/>
      <c r="Q220" s="33"/>
      <c r="R220" s="33"/>
      <c r="S220" s="144">
        <f>IF(AB213=R221,R213,IF(AB214=R221,R214,"ERROR"))</f>
        <v>188.533</v>
      </c>
      <c r="T220" s="144"/>
      <c r="U220" s="144"/>
      <c r="V220" s="144"/>
      <c r="W220" s="144"/>
      <c r="X220" s="33"/>
      <c r="Y220" s="33"/>
      <c r="Z220" s="33"/>
      <c r="AA220" s="33"/>
      <c r="AB220" s="144">
        <f>AJ183</f>
        <v>120</v>
      </c>
      <c r="AC220" s="144"/>
      <c r="AD220" s="144"/>
      <c r="AE220" s="144"/>
      <c r="AF220" s="144"/>
      <c r="AG220" s="33"/>
      <c r="AH220" s="3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</row>
    <row r="221" spans="1:45" ht="18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 t="s">
        <v>79</v>
      </c>
      <c r="R221" s="33">
        <f>MAX(AB213:AB214)</f>
        <v>0.10166324421628409</v>
      </c>
      <c r="S221" s="33"/>
      <c r="T221" s="33"/>
      <c r="U221" s="33"/>
      <c r="V221" s="3" t="s">
        <v>78</v>
      </c>
      <c r="W221" s="33">
        <f>(Z183/AJ183)^2</f>
        <v>0.010859939678541077</v>
      </c>
      <c r="X221" s="33"/>
      <c r="Y221" s="33"/>
      <c r="Z221" s="33"/>
      <c r="AA221" s="3" t="s">
        <v>79</v>
      </c>
      <c r="AB221" s="33">
        <f>R221+W221</f>
        <v>0.11252318389482516</v>
      </c>
      <c r="AC221" s="33"/>
      <c r="AD221" s="33"/>
      <c r="AE221" s="33"/>
      <c r="AF221" s="3"/>
      <c r="AG221" s="3" t="str">
        <f>IF(AB221&gt;AI221,"＞","＜")</f>
        <v>＜</v>
      </c>
      <c r="AH221" s="3"/>
      <c r="AI221" s="126">
        <v>1.2</v>
      </c>
      <c r="AJ221" s="33"/>
      <c r="AK221" s="33"/>
      <c r="AL221" s="3"/>
      <c r="AM221" s="3" t="str">
        <f>IF(AB221&lt;AI221,"O.K.","N.G.")</f>
        <v>O.K.</v>
      </c>
      <c r="AN221" s="3"/>
      <c r="AO221" s="3"/>
      <c r="AP221" s="3"/>
      <c r="AQ221" s="3"/>
      <c r="AR221" s="3"/>
      <c r="AS221" s="3"/>
    </row>
    <row r="222" spans="1:45" ht="18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</row>
    <row r="223" spans="1:45" ht="18" customHeight="1">
      <c r="A223" s="3"/>
      <c r="B223" s="3"/>
      <c r="C223" s="3"/>
      <c r="D223" s="3"/>
      <c r="E223" s="3" t="s">
        <v>50</v>
      </c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</row>
    <row r="224" spans="1:45" ht="18" customHeight="1">
      <c r="A224" s="3"/>
      <c r="B224" s="3"/>
      <c r="C224" s="3"/>
      <c r="D224" s="3"/>
      <c r="E224" s="3"/>
      <c r="F224" s="152" t="s">
        <v>85</v>
      </c>
      <c r="G224" s="141" t="s">
        <v>97</v>
      </c>
      <c r="H224" s="141"/>
      <c r="I224" s="153">
        <v>0</v>
      </c>
      <c r="J224" s="33"/>
      <c r="K224" s="33"/>
      <c r="L224" s="33"/>
      <c r="M224" s="141" t="s">
        <v>98</v>
      </c>
      <c r="N224" s="141"/>
      <c r="O224" s="154">
        <v>0</v>
      </c>
      <c r="P224" s="33"/>
      <c r="Q224" s="33" t="s">
        <v>79</v>
      </c>
      <c r="R224" s="152" t="s">
        <v>85</v>
      </c>
      <c r="S224" s="141">
        <f>IF(AF213=R226,M213,IF(AF214=R226,M214,"ERROR"))</f>
        <v>69.59527087191731</v>
      </c>
      <c r="T224" s="141"/>
      <c r="U224" s="141"/>
      <c r="V224" s="141"/>
      <c r="W224" s="141"/>
      <c r="X224" s="154">
        <v>0</v>
      </c>
      <c r="Y224" s="33"/>
      <c r="Z224" s="33" t="s">
        <v>78</v>
      </c>
      <c r="AA224" s="152" t="s">
        <v>85</v>
      </c>
      <c r="AB224" s="141">
        <f>Z183</f>
        <v>12.505324120989089</v>
      </c>
      <c r="AC224" s="141"/>
      <c r="AD224" s="141"/>
      <c r="AE224" s="141"/>
      <c r="AF224" s="141"/>
      <c r="AG224" s="154">
        <v>0</v>
      </c>
      <c r="AH224" s="3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</row>
    <row r="225" spans="1:45" ht="18" customHeight="1">
      <c r="A225" s="3"/>
      <c r="B225" s="3"/>
      <c r="C225" s="3"/>
      <c r="D225" s="3"/>
      <c r="E225" s="3"/>
      <c r="F225" s="33"/>
      <c r="G225" s="144" t="s">
        <v>99</v>
      </c>
      <c r="H225" s="144"/>
      <c r="I225" s="33"/>
      <c r="J225" s="33"/>
      <c r="K225" s="33"/>
      <c r="L225" s="33"/>
      <c r="M225" s="144" t="s">
        <v>100</v>
      </c>
      <c r="N225" s="144"/>
      <c r="O225" s="33"/>
      <c r="P225" s="33"/>
      <c r="Q225" s="33"/>
      <c r="R225" s="33"/>
      <c r="S225" s="144">
        <f>IF(AF213=R226,W213,IF(AF214=R226,W214,"ERROR"))</f>
        <v>210</v>
      </c>
      <c r="T225" s="144"/>
      <c r="U225" s="144"/>
      <c r="V225" s="144"/>
      <c r="W225" s="144"/>
      <c r="X225" s="33"/>
      <c r="Y225" s="33"/>
      <c r="Z225" s="33"/>
      <c r="AA225" s="33"/>
      <c r="AB225" s="144">
        <f>AJ183</f>
        <v>120</v>
      </c>
      <c r="AC225" s="144"/>
      <c r="AD225" s="144"/>
      <c r="AE225" s="144"/>
      <c r="AF225" s="144"/>
      <c r="AG225" s="33"/>
      <c r="AH225" s="3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</row>
    <row r="226" spans="1:45" ht="18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 t="s">
        <v>79</v>
      </c>
      <c r="R226" s="33">
        <f>MAX(AF213:AF214)</f>
        <v>0.10982997115046578</v>
      </c>
      <c r="S226" s="33"/>
      <c r="T226" s="33"/>
      <c r="U226" s="33"/>
      <c r="V226" s="3" t="s">
        <v>78</v>
      </c>
      <c r="W226" s="33">
        <f>(Z183/AJ183)^2</f>
        <v>0.010859939678541077</v>
      </c>
      <c r="X226" s="33"/>
      <c r="Y226" s="33"/>
      <c r="Z226" s="33"/>
      <c r="AA226" s="3" t="s">
        <v>79</v>
      </c>
      <c r="AB226" s="33">
        <f>R226+W226</f>
        <v>0.12068991082900685</v>
      </c>
      <c r="AC226" s="33"/>
      <c r="AD226" s="33"/>
      <c r="AE226" s="33"/>
      <c r="AF226" s="3"/>
      <c r="AG226" s="3" t="str">
        <f>IF(AB226&gt;AI226,"＞","＜")</f>
        <v>＜</v>
      </c>
      <c r="AH226" s="3"/>
      <c r="AI226" s="126">
        <v>1.2</v>
      </c>
      <c r="AJ226" s="33"/>
      <c r="AK226" s="33"/>
      <c r="AL226" s="3"/>
      <c r="AM226" s="3" t="str">
        <f>IF(AB226&lt;AI226,"O.K.","N.G.")</f>
        <v>O.K.</v>
      </c>
      <c r="AN226" s="3"/>
      <c r="AO226" s="3"/>
      <c r="AP226" s="3"/>
      <c r="AQ226" s="3"/>
      <c r="AR226" s="3"/>
      <c r="AS226" s="3"/>
    </row>
    <row r="227" ht="18" customHeight="1">
      <c r="AU227" s="151"/>
    </row>
    <row r="228" spans="21:31" ht="18" customHeight="1"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</row>
    <row r="235" spans="1:25" ht="18" customHeight="1">
      <c r="A235" s="54" t="s">
        <v>153</v>
      </c>
      <c r="G235" s="55">
        <v>3</v>
      </c>
      <c r="H235" s="55"/>
      <c r="I235" s="53" t="s">
        <v>63</v>
      </c>
      <c r="K235" s="53" t="s">
        <v>109</v>
      </c>
      <c r="M235" s="55">
        <v>27</v>
      </c>
      <c r="N235" s="55"/>
      <c r="O235" s="53" t="s">
        <v>64</v>
      </c>
      <c r="V235" s="56">
        <v>0</v>
      </c>
      <c r="W235" s="56"/>
      <c r="X235" s="56"/>
      <c r="Y235" s="53" t="s">
        <v>65</v>
      </c>
    </row>
    <row r="236" spans="1:70" ht="18" customHeight="1">
      <c r="A236" s="57" t="s">
        <v>110</v>
      </c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 t="s">
        <v>111</v>
      </c>
      <c r="AA236" s="3"/>
      <c r="AB236" s="3"/>
      <c r="AC236" s="3"/>
      <c r="AD236" s="3"/>
      <c r="AE236" s="3"/>
      <c r="AF236" s="3"/>
      <c r="AG236" s="58" t="s">
        <v>11</v>
      </c>
      <c r="AH236" s="59"/>
      <c r="AI236" s="59"/>
      <c r="AJ236" s="59"/>
      <c r="AK236" s="60" t="s">
        <v>171</v>
      </c>
      <c r="AL236" s="3"/>
      <c r="AM236" s="3"/>
      <c r="AN236" s="3"/>
      <c r="AO236" s="3"/>
      <c r="AP236" s="3"/>
      <c r="AQ236" s="3"/>
      <c r="AU236" s="61"/>
      <c r="AX236" s="62"/>
      <c r="AY236" s="62"/>
      <c r="AZ236" s="62"/>
      <c r="BA236" s="62"/>
      <c r="BB236" s="62"/>
      <c r="BC236" s="62"/>
      <c r="BD236" s="62"/>
      <c r="BM236" s="62"/>
      <c r="BN236" s="62"/>
      <c r="BO236" s="62"/>
      <c r="BP236" s="62"/>
      <c r="BQ236" s="62"/>
      <c r="BR236" s="62"/>
    </row>
    <row r="237" spans="1:70" ht="18" customHeight="1">
      <c r="A237" s="3"/>
      <c r="B237" s="3"/>
      <c r="C237" s="3"/>
      <c r="D237" s="3"/>
      <c r="E237" s="63"/>
      <c r="F237" s="63"/>
      <c r="G237" s="63"/>
      <c r="H237" s="63"/>
      <c r="I237" s="63"/>
      <c r="J237" s="63"/>
      <c r="K237" s="63"/>
      <c r="M237" s="62"/>
      <c r="N237" s="62"/>
      <c r="O237" s="62"/>
      <c r="P237" s="62"/>
      <c r="Q237" s="62"/>
      <c r="R237" s="62"/>
      <c r="S237" s="62"/>
      <c r="T237" s="63"/>
      <c r="U237" s="63"/>
      <c r="V237" s="63"/>
      <c r="W237" s="63"/>
      <c r="X237" s="63"/>
      <c r="Y237" s="63"/>
      <c r="Z237" s="3"/>
      <c r="AA237" s="3"/>
      <c r="AB237" s="3"/>
      <c r="AC237" s="3"/>
      <c r="AD237" s="3"/>
      <c r="AX237" s="62"/>
      <c r="AY237" s="62"/>
      <c r="AZ237" s="62"/>
      <c r="BA237" s="62"/>
      <c r="BB237" s="62"/>
      <c r="BC237" s="62"/>
      <c r="BD237" s="62"/>
      <c r="BM237" s="62"/>
      <c r="BN237" s="62"/>
      <c r="BO237" s="62"/>
      <c r="BP237" s="62"/>
      <c r="BQ237" s="62"/>
      <c r="BR237" s="62"/>
    </row>
    <row r="238" spans="1:50" ht="18" customHeight="1">
      <c r="A238" s="3"/>
      <c r="B238" s="3"/>
      <c r="C238" s="3"/>
      <c r="D238" s="3"/>
      <c r="E238" s="63"/>
      <c r="F238" s="63"/>
      <c r="G238" s="63"/>
      <c r="L238" s="62"/>
      <c r="M238" s="62"/>
      <c r="N238" s="62"/>
      <c r="O238" s="62"/>
      <c r="P238" s="62"/>
      <c r="Q238" s="62"/>
      <c r="R238" s="62"/>
      <c r="S238" s="62"/>
      <c r="W238" s="62"/>
      <c r="X238" s="63"/>
      <c r="Y238" s="63"/>
      <c r="Z238" s="3"/>
      <c r="AA238" s="3"/>
      <c r="AB238" s="3"/>
      <c r="AC238" s="3"/>
      <c r="AD238" s="3"/>
      <c r="AE238" s="57" t="s">
        <v>66</v>
      </c>
      <c r="AF238" s="3"/>
      <c r="AG238" s="58">
        <v>2.6</v>
      </c>
      <c r="AH238" s="58"/>
      <c r="AI238" s="58"/>
      <c r="AJ238" s="3" t="s">
        <v>65</v>
      </c>
      <c r="AK238" s="3"/>
      <c r="AL238" s="3"/>
      <c r="AM238" s="3"/>
      <c r="AN238" s="3"/>
      <c r="AO238" s="3"/>
      <c r="AP238" s="3"/>
      <c r="AQ238" s="3"/>
      <c r="AX238" s="62"/>
    </row>
    <row r="239" spans="1:43" ht="18" customHeight="1">
      <c r="A239" s="3"/>
      <c r="B239" s="3"/>
      <c r="C239" s="3"/>
      <c r="D239" s="3"/>
      <c r="E239" s="3"/>
      <c r="F239" s="3"/>
      <c r="G239" s="3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2"/>
      <c r="W239" s="3"/>
      <c r="X239" s="3"/>
      <c r="Y239" s="3"/>
      <c r="Z239" s="3"/>
      <c r="AA239" s="3"/>
      <c r="AB239" s="3"/>
      <c r="AC239" s="3"/>
      <c r="AD239" s="3"/>
      <c r="AE239" s="3" t="s">
        <v>112</v>
      </c>
      <c r="AF239" s="3"/>
      <c r="AG239" s="58">
        <v>1.2</v>
      </c>
      <c r="AH239" s="58"/>
      <c r="AI239" s="58"/>
      <c r="AJ239" s="3" t="s">
        <v>113</v>
      </c>
      <c r="AK239" s="3" t="s">
        <v>114</v>
      </c>
      <c r="AL239" s="3"/>
      <c r="AM239" s="58">
        <v>1.2</v>
      </c>
      <c r="AN239" s="58"/>
      <c r="AO239" s="58"/>
      <c r="AP239" s="3" t="s">
        <v>115</v>
      </c>
      <c r="AQ239" s="3"/>
    </row>
    <row r="240" spans="1:36" ht="18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C240" s="3"/>
      <c r="AD240" s="3"/>
      <c r="AE240" s="3" t="s">
        <v>116</v>
      </c>
      <c r="AF240" s="3"/>
      <c r="AG240" s="58">
        <v>2.1</v>
      </c>
      <c r="AH240" s="58"/>
      <c r="AI240" s="58"/>
      <c r="AJ240" s="3" t="s">
        <v>115</v>
      </c>
    </row>
    <row r="241" spans="1:43" ht="18" customHeight="1">
      <c r="A241" s="3"/>
      <c r="B241" s="3"/>
      <c r="C241" s="3"/>
      <c r="D241" s="3"/>
      <c r="E241" s="3"/>
      <c r="F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64"/>
      <c r="AC241" s="3"/>
      <c r="AD241" s="3"/>
      <c r="AE241" s="57" t="s">
        <v>51</v>
      </c>
      <c r="AK241" s="3"/>
      <c r="AL241" s="3"/>
      <c r="AM241" s="3"/>
      <c r="AN241" s="3"/>
      <c r="AO241" s="3"/>
      <c r="AP241" s="3"/>
      <c r="AQ241" s="3"/>
    </row>
    <row r="242" spans="1:43" ht="18" customHeight="1">
      <c r="A242" s="3"/>
      <c r="B242" s="3"/>
      <c r="C242" s="3"/>
      <c r="D242" s="3"/>
      <c r="E242" s="3"/>
      <c r="F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C242" s="3"/>
      <c r="AD242" s="3"/>
      <c r="AE242" s="57" t="s">
        <v>117</v>
      </c>
      <c r="AF242" s="3"/>
      <c r="AG242" s="33">
        <f>AG239+AM239+AG248*2</f>
        <v>2.6399999999999997</v>
      </c>
      <c r="AH242" s="33"/>
      <c r="AI242" s="33"/>
      <c r="AJ242" s="3" t="s">
        <v>113</v>
      </c>
      <c r="AK242" s="57" t="s">
        <v>118</v>
      </c>
      <c r="AL242" s="3"/>
      <c r="AM242" s="33">
        <f>AG240+AG249*2</f>
        <v>2.34</v>
      </c>
      <c r="AN242" s="33"/>
      <c r="AO242" s="33"/>
      <c r="AP242" s="3" t="s">
        <v>115</v>
      </c>
      <c r="AQ242" s="3"/>
    </row>
    <row r="243" spans="1:53" ht="18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65" t="str">
        <f>C264&amp;" - "&amp;AG250&amp;" x "&amp;AJ250</f>
        <v>5 - 150 x 14</v>
      </c>
      <c r="N243" s="65"/>
      <c r="O243" s="65"/>
      <c r="P243" s="65"/>
      <c r="Q243" s="65"/>
      <c r="R243" s="65"/>
      <c r="S243" s="3"/>
      <c r="T243" s="3"/>
      <c r="U243" s="3"/>
      <c r="V243" s="3"/>
      <c r="W243" s="3"/>
      <c r="X243" s="3"/>
      <c r="Y243" s="3"/>
      <c r="Z243" s="3"/>
      <c r="AA243" s="3"/>
      <c r="AC243" s="3"/>
      <c r="AD243" s="3"/>
      <c r="AE243" s="57" t="s">
        <v>119</v>
      </c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U243" s="3"/>
      <c r="AV243" s="3"/>
      <c r="AW243" s="3"/>
      <c r="AX243" s="3"/>
      <c r="AY243" s="3"/>
      <c r="AZ243" s="3"/>
      <c r="BA243" s="3"/>
    </row>
    <row r="244" spans="1:81" ht="18" customHeight="1">
      <c r="A244" s="3"/>
      <c r="B244" s="3"/>
      <c r="C244" s="3"/>
      <c r="D244" s="3"/>
      <c r="E244" s="3"/>
      <c r="F244" s="3"/>
      <c r="G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C244" s="3"/>
      <c r="AD244" s="3"/>
      <c r="AE244" s="57" t="s">
        <v>120</v>
      </c>
      <c r="AF244" s="3"/>
      <c r="AG244" s="58">
        <v>2.64</v>
      </c>
      <c r="AH244" s="58"/>
      <c r="AI244" s="58"/>
      <c r="AJ244" s="3" t="s">
        <v>113</v>
      </c>
      <c r="AK244" s="57" t="s">
        <v>121</v>
      </c>
      <c r="AL244" s="3"/>
      <c r="AM244" s="58">
        <v>2.34</v>
      </c>
      <c r="AN244" s="58"/>
      <c r="AO244" s="58"/>
      <c r="AP244" s="3" t="s">
        <v>115</v>
      </c>
      <c r="AQ244" s="3"/>
      <c r="AU244" s="3"/>
      <c r="AV244" s="3"/>
      <c r="AW244" s="3"/>
      <c r="AX244" s="3"/>
      <c r="AY244" s="3"/>
      <c r="AZ244" s="3"/>
      <c r="BA244" s="3"/>
      <c r="CA244" s="66"/>
      <c r="CB244" s="66"/>
      <c r="CC244" s="66"/>
    </row>
    <row r="245" spans="1:81" ht="18" customHeight="1">
      <c r="A245" s="3"/>
      <c r="B245" s="3"/>
      <c r="C245" s="3"/>
      <c r="D245" s="67" t="s">
        <v>154</v>
      </c>
      <c r="E245" s="67"/>
      <c r="F245" s="68">
        <f>DEGREES(ATAN((AG239-AG240/2)/AG238))</f>
        <v>3.301865674435001</v>
      </c>
      <c r="G245" s="68"/>
      <c r="H245" s="68"/>
      <c r="I245" s="69" t="s">
        <v>122</v>
      </c>
      <c r="J245" s="3"/>
      <c r="K245" s="3"/>
      <c r="L245" s="3"/>
      <c r="M245" s="3"/>
      <c r="N245" s="65" t="str">
        <f>C267&amp;" - "&amp;AN250&amp;" x "&amp;AQ250</f>
        <v>2 - 150 x 14</v>
      </c>
      <c r="O245" s="65"/>
      <c r="P245" s="65"/>
      <c r="Q245" s="65"/>
      <c r="R245" s="65"/>
      <c r="S245" s="65"/>
      <c r="T245" s="3"/>
      <c r="U245" s="3"/>
      <c r="V245" s="67" t="s">
        <v>155</v>
      </c>
      <c r="W245" s="67"/>
      <c r="X245" s="68">
        <f>DEGREES(ATAN((AM239-AG240/2)/AG238))</f>
        <v>3.301865674435001</v>
      </c>
      <c r="Y245" s="68"/>
      <c r="Z245" s="68"/>
      <c r="AA245" s="69" t="s">
        <v>122</v>
      </c>
      <c r="AB245" s="3"/>
      <c r="AC245" s="3"/>
      <c r="AD245" s="3"/>
      <c r="AE245" s="57" t="s">
        <v>67</v>
      </c>
      <c r="AF245" s="3"/>
      <c r="AG245" s="58">
        <v>0.021</v>
      </c>
      <c r="AH245" s="58"/>
      <c r="AI245" s="58"/>
      <c r="AJ245" s="3" t="s">
        <v>65</v>
      </c>
      <c r="AK245" s="3"/>
      <c r="AL245" s="3"/>
      <c r="AM245" s="3"/>
      <c r="AN245" s="3"/>
      <c r="AO245" s="3"/>
      <c r="AP245" s="3"/>
      <c r="AQ245" s="3"/>
      <c r="AU245" s="3"/>
      <c r="AV245" s="3"/>
      <c r="AW245" s="67"/>
      <c r="AX245" s="67"/>
      <c r="AY245" s="3"/>
      <c r="AZ245" s="3"/>
      <c r="BA245" s="3"/>
      <c r="CA245" s="66"/>
      <c r="CB245" s="66"/>
      <c r="CC245" s="66"/>
    </row>
    <row r="246" spans="1:81" ht="18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57" t="s">
        <v>68</v>
      </c>
      <c r="AF246" s="3"/>
      <c r="AG246" s="58">
        <v>0.021</v>
      </c>
      <c r="AH246" s="58"/>
      <c r="AI246" s="58"/>
      <c r="AJ246" s="3" t="s">
        <v>65</v>
      </c>
      <c r="AK246" s="3"/>
      <c r="AL246" s="3"/>
      <c r="AM246" s="3"/>
      <c r="AN246" s="3"/>
      <c r="AO246" s="3"/>
      <c r="AP246" s="3"/>
      <c r="AQ246" s="3"/>
      <c r="AU246" s="3"/>
      <c r="AV246" s="3"/>
      <c r="AW246" s="3"/>
      <c r="AX246" s="3"/>
      <c r="AY246" s="3"/>
      <c r="AZ246" s="3"/>
      <c r="BA246" s="3"/>
      <c r="CA246" s="66"/>
      <c r="CB246" s="66"/>
      <c r="CC246" s="66"/>
    </row>
    <row r="247" spans="1:81" ht="18" customHeight="1">
      <c r="A247" s="3"/>
      <c r="B247" s="3"/>
      <c r="C247" s="3"/>
      <c r="D247" s="3"/>
      <c r="E247" s="3"/>
      <c r="F247" s="3"/>
      <c r="G247" s="3"/>
      <c r="H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57" t="s">
        <v>69</v>
      </c>
      <c r="AF247" s="3"/>
      <c r="AG247" s="58">
        <v>0.01</v>
      </c>
      <c r="AH247" s="58"/>
      <c r="AI247" s="58"/>
      <c r="AJ247" s="3" t="s">
        <v>65</v>
      </c>
      <c r="AK247" s="3"/>
      <c r="AL247" s="3"/>
      <c r="AM247" s="3"/>
      <c r="AN247" s="3"/>
      <c r="AO247" s="3"/>
      <c r="AP247" s="3"/>
      <c r="AQ247" s="3"/>
      <c r="AU247" s="3"/>
      <c r="AV247" s="3"/>
      <c r="AW247" s="3"/>
      <c r="AX247" s="3"/>
      <c r="AY247" s="3"/>
      <c r="AZ247" s="3"/>
      <c r="BA247" s="3"/>
      <c r="CA247" s="66"/>
      <c r="CB247" s="66"/>
      <c r="CC247" s="66"/>
    </row>
    <row r="248" spans="1:81" ht="18" customHeight="1">
      <c r="A248" s="3"/>
      <c r="B248" s="3"/>
      <c r="E248" s="62"/>
      <c r="F248" s="62"/>
      <c r="G248" s="62"/>
      <c r="H248" s="62"/>
      <c r="I248" s="62"/>
      <c r="J248" s="70"/>
      <c r="K248" s="62"/>
      <c r="L248" s="62"/>
      <c r="M248" s="62"/>
      <c r="N248" s="62"/>
      <c r="O248" s="62"/>
      <c r="P248" s="62"/>
      <c r="Q248" s="62"/>
      <c r="R248" s="62"/>
      <c r="S248" s="62"/>
      <c r="T248" s="71"/>
      <c r="U248" s="62"/>
      <c r="V248" s="62"/>
      <c r="AD248" s="3"/>
      <c r="AE248" s="53" t="s">
        <v>123</v>
      </c>
      <c r="AG248" s="56">
        <v>0.12</v>
      </c>
      <c r="AH248" s="56"/>
      <c r="AI248" s="56"/>
      <c r="AJ248" s="53" t="s">
        <v>65</v>
      </c>
      <c r="AK248" s="3"/>
      <c r="AL248" s="3"/>
      <c r="AM248" s="3"/>
      <c r="AN248" s="3"/>
      <c r="AO248" s="3"/>
      <c r="AP248" s="3"/>
      <c r="AQ248" s="3"/>
      <c r="AU248" s="3"/>
      <c r="AV248" s="3"/>
      <c r="AW248" s="3"/>
      <c r="AX248" s="63"/>
      <c r="AY248" s="3"/>
      <c r="AZ248" s="3"/>
      <c r="BA248" s="3"/>
      <c r="CA248" s="66"/>
      <c r="CB248" s="66"/>
      <c r="CC248" s="66"/>
    </row>
    <row r="249" spans="5:50" ht="18" customHeight="1">
      <c r="E249" s="62"/>
      <c r="F249" s="62"/>
      <c r="G249" s="62"/>
      <c r="H249" s="62"/>
      <c r="I249" s="62"/>
      <c r="J249" s="62"/>
      <c r="K249" s="62"/>
      <c r="N249" s="62"/>
      <c r="O249" s="62"/>
      <c r="P249" s="62"/>
      <c r="Q249" s="62"/>
      <c r="R249" s="62"/>
      <c r="S249" s="62"/>
      <c r="T249" s="62"/>
      <c r="U249" s="62"/>
      <c r="V249" s="62"/>
      <c r="AE249" s="53" t="s">
        <v>124</v>
      </c>
      <c r="AG249" s="56">
        <v>0.12</v>
      </c>
      <c r="AH249" s="56"/>
      <c r="AI249" s="56"/>
      <c r="AJ249" s="53" t="s">
        <v>65</v>
      </c>
      <c r="AX249" s="62"/>
    </row>
    <row r="250" spans="31:45" ht="18" customHeight="1">
      <c r="AE250" s="53" t="s">
        <v>70</v>
      </c>
      <c r="AG250" s="55">
        <v>150</v>
      </c>
      <c r="AH250" s="55"/>
      <c r="AI250" s="72" t="s">
        <v>125</v>
      </c>
      <c r="AJ250" s="55">
        <v>14</v>
      </c>
      <c r="AK250" s="55"/>
      <c r="AL250" s="53" t="s">
        <v>71</v>
      </c>
      <c r="AM250" s="53" t="s">
        <v>113</v>
      </c>
      <c r="AN250" s="55">
        <v>150</v>
      </c>
      <c r="AO250" s="55"/>
      <c r="AP250" s="72" t="s">
        <v>125</v>
      </c>
      <c r="AQ250" s="55">
        <v>14</v>
      </c>
      <c r="AR250" s="55"/>
      <c r="AS250" s="53" t="s">
        <v>71</v>
      </c>
    </row>
    <row r="251" spans="33:83" ht="18" customHeight="1">
      <c r="AG251" s="73"/>
      <c r="AH251" s="73"/>
      <c r="AI251" s="72"/>
      <c r="AJ251" s="73"/>
      <c r="AK251" s="73"/>
      <c r="AN251" s="73"/>
      <c r="AO251" s="73"/>
      <c r="AP251" s="72"/>
      <c r="AQ251" s="73"/>
      <c r="AR251" s="73"/>
      <c r="CA251" s="73"/>
      <c r="CB251" s="72"/>
      <c r="CD251" s="73"/>
      <c r="CE251" s="72"/>
    </row>
    <row r="252" spans="4:38" ht="18" customHeight="1">
      <c r="D252" s="74" t="s">
        <v>126</v>
      </c>
      <c r="E252" s="75"/>
      <c r="F252" s="75"/>
      <c r="G252" s="75"/>
      <c r="H252" s="75"/>
      <c r="I252" s="75"/>
      <c r="J252" s="75"/>
      <c r="K252" s="75"/>
      <c r="L252" s="75"/>
      <c r="M252" s="75"/>
      <c r="N252" s="75"/>
      <c r="O252" s="75"/>
      <c r="P252" s="75"/>
      <c r="Q252" s="75"/>
      <c r="R252" s="75"/>
      <c r="S252" s="75"/>
      <c r="T252" s="75"/>
      <c r="U252" s="75"/>
      <c r="V252" s="75"/>
      <c r="W252" s="75"/>
      <c r="X252" s="75"/>
      <c r="Y252" s="75"/>
      <c r="Z252" s="75"/>
      <c r="AA252" s="75"/>
      <c r="AB252" s="76"/>
      <c r="AC252" s="74" t="s">
        <v>127</v>
      </c>
      <c r="AD252" s="31"/>
      <c r="AE252" s="31"/>
      <c r="AF252" s="32"/>
      <c r="AG252" s="77" t="s">
        <v>128</v>
      </c>
      <c r="AH252" s="75"/>
      <c r="AI252" s="75"/>
      <c r="AJ252" s="75"/>
      <c r="AK252" s="75"/>
      <c r="AL252" s="76"/>
    </row>
    <row r="253" spans="4:48" ht="18" customHeight="1">
      <c r="D253" s="78" t="s">
        <v>129</v>
      </c>
      <c r="E253" s="79"/>
      <c r="F253" s="79"/>
      <c r="G253" s="79"/>
      <c r="H253" s="79"/>
      <c r="I253" s="79"/>
      <c r="J253" s="79"/>
      <c r="K253" s="79"/>
      <c r="L253" s="79"/>
      <c r="M253" s="79"/>
      <c r="N253" s="79"/>
      <c r="O253" s="79"/>
      <c r="P253" s="79"/>
      <c r="Q253" s="79"/>
      <c r="R253" s="79"/>
      <c r="S253" s="79"/>
      <c r="T253" s="79"/>
      <c r="U253" s="79"/>
      <c r="V253" s="79"/>
      <c r="W253" s="79"/>
      <c r="X253" s="79"/>
      <c r="Y253" s="79"/>
      <c r="Z253" s="79"/>
      <c r="AA253" s="79"/>
      <c r="AB253" s="80"/>
      <c r="AC253" s="81" t="s">
        <v>101</v>
      </c>
      <c r="AD253" s="81"/>
      <c r="AE253" s="81"/>
      <c r="AF253" s="81"/>
      <c r="AG253" s="82">
        <v>200000</v>
      </c>
      <c r="AH253" s="83"/>
      <c r="AI253" s="83"/>
      <c r="AJ253" s="83"/>
      <c r="AK253" s="83"/>
      <c r="AL253" s="84"/>
      <c r="AV253" s="61"/>
    </row>
    <row r="254" spans="4:48" ht="18" customHeight="1">
      <c r="D254" s="78" t="s">
        <v>52</v>
      </c>
      <c r="E254" s="79"/>
      <c r="F254" s="79"/>
      <c r="G254" s="79"/>
      <c r="H254" s="79"/>
      <c r="I254" s="79"/>
      <c r="J254" s="79"/>
      <c r="K254" s="79"/>
      <c r="L254" s="79"/>
      <c r="M254" s="79"/>
      <c r="N254" s="79"/>
      <c r="O254" s="79"/>
      <c r="P254" s="79"/>
      <c r="Q254" s="79"/>
      <c r="R254" s="79"/>
      <c r="S254" s="79"/>
      <c r="T254" s="79"/>
      <c r="U254" s="79"/>
      <c r="V254" s="79"/>
      <c r="W254" s="79"/>
      <c r="X254" s="79"/>
      <c r="Y254" s="79"/>
      <c r="Z254" s="79"/>
      <c r="AA254" s="79"/>
      <c r="AB254" s="80"/>
      <c r="AC254" s="85" t="s">
        <v>130</v>
      </c>
      <c r="AD254" s="81"/>
      <c r="AE254" s="81"/>
      <c r="AF254" s="86"/>
      <c r="AG254" s="87">
        <v>5142.885</v>
      </c>
      <c r="AH254" s="88"/>
      <c r="AI254" s="88"/>
      <c r="AJ254" s="88"/>
      <c r="AK254" s="88"/>
      <c r="AL254" s="89"/>
      <c r="AV254" s="61"/>
    </row>
    <row r="255" spans="4:48" ht="18" customHeight="1">
      <c r="D255" s="78" t="s">
        <v>102</v>
      </c>
      <c r="E255" s="79"/>
      <c r="F255" s="79"/>
      <c r="G255" s="79"/>
      <c r="H255" s="79"/>
      <c r="I255" s="79"/>
      <c r="J255" s="79"/>
      <c r="K255" s="79"/>
      <c r="L255" s="79"/>
      <c r="M255" s="79"/>
      <c r="N255" s="79"/>
      <c r="O255" s="79"/>
      <c r="P255" s="79"/>
      <c r="Q255" s="79"/>
      <c r="R255" s="79"/>
      <c r="S255" s="79"/>
      <c r="T255" s="79"/>
      <c r="U255" s="79"/>
      <c r="V255" s="79"/>
      <c r="W255" s="79"/>
      <c r="X255" s="79"/>
      <c r="Y255" s="79"/>
      <c r="Z255" s="79"/>
      <c r="AA255" s="79"/>
      <c r="AB255" s="80"/>
      <c r="AC255" s="85" t="s">
        <v>130</v>
      </c>
      <c r="AD255" s="81"/>
      <c r="AE255" s="81"/>
      <c r="AF255" s="86"/>
      <c r="AG255" s="87">
        <v>3719.38</v>
      </c>
      <c r="AH255" s="88"/>
      <c r="AI255" s="88"/>
      <c r="AJ255" s="88"/>
      <c r="AK255" s="88"/>
      <c r="AL255" s="89"/>
      <c r="AV255" s="61"/>
    </row>
    <row r="256" spans="4:48" ht="18" customHeight="1">
      <c r="D256" s="78" t="s">
        <v>53</v>
      </c>
      <c r="E256" s="79"/>
      <c r="F256" s="79"/>
      <c r="G256" s="79"/>
      <c r="H256" s="79"/>
      <c r="I256" s="79"/>
      <c r="J256" s="79"/>
      <c r="K256" s="79"/>
      <c r="L256" s="79"/>
      <c r="M256" s="79"/>
      <c r="N256" s="79"/>
      <c r="O256" s="79"/>
      <c r="P256" s="79"/>
      <c r="Q256" s="79"/>
      <c r="R256" s="79"/>
      <c r="S256" s="79"/>
      <c r="T256" s="79"/>
      <c r="U256" s="79"/>
      <c r="V256" s="79"/>
      <c r="W256" s="79"/>
      <c r="X256" s="79"/>
      <c r="Y256" s="79"/>
      <c r="Z256" s="79"/>
      <c r="AA256" s="79"/>
      <c r="AB256" s="80"/>
      <c r="AC256" s="85" t="s">
        <v>131</v>
      </c>
      <c r="AD256" s="81"/>
      <c r="AE256" s="81"/>
      <c r="AF256" s="86"/>
      <c r="AG256" s="87">
        <v>115.479</v>
      </c>
      <c r="AH256" s="88"/>
      <c r="AI256" s="88"/>
      <c r="AJ256" s="88"/>
      <c r="AK256" s="88"/>
      <c r="AL256" s="89"/>
      <c r="AV256" s="61"/>
    </row>
    <row r="257" spans="4:48" ht="18" customHeight="1">
      <c r="D257" s="78" t="s">
        <v>103</v>
      </c>
      <c r="E257" s="79"/>
      <c r="F257" s="79"/>
      <c r="G257" s="79"/>
      <c r="H257" s="79"/>
      <c r="I257" s="79"/>
      <c r="J257" s="79"/>
      <c r="K257" s="79"/>
      <c r="L257" s="79"/>
      <c r="M257" s="79"/>
      <c r="N257" s="79"/>
      <c r="O257" s="79"/>
      <c r="P257" s="79"/>
      <c r="Q257" s="79"/>
      <c r="R257" s="79"/>
      <c r="S257" s="79"/>
      <c r="T257" s="79"/>
      <c r="U257" s="79"/>
      <c r="V257" s="79"/>
      <c r="W257" s="79"/>
      <c r="X257" s="79"/>
      <c r="Y257" s="79"/>
      <c r="Z257" s="79"/>
      <c r="AA257" s="79"/>
      <c r="AB257" s="80"/>
      <c r="AC257" s="85" t="s">
        <v>131</v>
      </c>
      <c r="AD257" s="81"/>
      <c r="AE257" s="81"/>
      <c r="AF257" s="86"/>
      <c r="AG257" s="87">
        <v>288.429</v>
      </c>
      <c r="AH257" s="88"/>
      <c r="AI257" s="88"/>
      <c r="AJ257" s="88"/>
      <c r="AK257" s="88"/>
      <c r="AL257" s="89"/>
      <c r="AV257" s="61"/>
    </row>
    <row r="258" spans="4:48" ht="18" customHeight="1">
      <c r="D258" s="78" t="s">
        <v>54</v>
      </c>
      <c r="E258" s="79"/>
      <c r="F258" s="79"/>
      <c r="G258" s="79"/>
      <c r="H258" s="79"/>
      <c r="I258" s="79"/>
      <c r="J258" s="79"/>
      <c r="K258" s="79"/>
      <c r="L258" s="79"/>
      <c r="M258" s="79"/>
      <c r="N258" s="79"/>
      <c r="O258" s="79"/>
      <c r="P258" s="79"/>
      <c r="Q258" s="79"/>
      <c r="R258" s="79"/>
      <c r="S258" s="79"/>
      <c r="T258" s="79"/>
      <c r="U258" s="79"/>
      <c r="V258" s="79"/>
      <c r="W258" s="79"/>
      <c r="X258" s="79"/>
      <c r="Y258" s="79"/>
      <c r="Z258" s="79"/>
      <c r="AA258" s="79"/>
      <c r="AB258" s="80"/>
      <c r="AC258" s="85" t="s">
        <v>130</v>
      </c>
      <c r="AD258" s="81"/>
      <c r="AE258" s="81"/>
      <c r="AF258" s="86"/>
      <c r="AG258" s="87">
        <v>35.33</v>
      </c>
      <c r="AH258" s="88"/>
      <c r="AI258" s="88"/>
      <c r="AJ258" s="88"/>
      <c r="AK258" s="88"/>
      <c r="AL258" s="89"/>
      <c r="AV258" s="61"/>
    </row>
    <row r="259" spans="4:48" ht="18" customHeight="1">
      <c r="D259" s="78" t="s">
        <v>104</v>
      </c>
      <c r="E259" s="79"/>
      <c r="F259" s="79"/>
      <c r="G259" s="79"/>
      <c r="H259" s="79"/>
      <c r="I259" s="79"/>
      <c r="J259" s="79"/>
      <c r="K259" s="79"/>
      <c r="L259" s="79"/>
      <c r="M259" s="79"/>
      <c r="N259" s="79"/>
      <c r="O259" s="79"/>
      <c r="P259" s="79"/>
      <c r="Q259" s="79"/>
      <c r="R259" s="79"/>
      <c r="S259" s="79"/>
      <c r="T259" s="79"/>
      <c r="U259" s="79"/>
      <c r="V259" s="79"/>
      <c r="W259" s="79"/>
      <c r="X259" s="79"/>
      <c r="Y259" s="79"/>
      <c r="Z259" s="79"/>
      <c r="AA259" s="79"/>
      <c r="AB259" s="80"/>
      <c r="AC259" s="85" t="s">
        <v>130</v>
      </c>
      <c r="AD259" s="81"/>
      <c r="AE259" s="81"/>
      <c r="AF259" s="86"/>
      <c r="AG259" s="87">
        <v>207.395</v>
      </c>
      <c r="AH259" s="88"/>
      <c r="AI259" s="88"/>
      <c r="AJ259" s="88"/>
      <c r="AK259" s="88"/>
      <c r="AL259" s="89"/>
      <c r="AV259" s="61"/>
    </row>
    <row r="261" ht="18" customHeight="1">
      <c r="D261" s="53" t="s">
        <v>132</v>
      </c>
    </row>
    <row r="262" spans="3:41" ht="18" customHeight="1">
      <c r="C262" s="74" t="s">
        <v>133</v>
      </c>
      <c r="D262" s="75"/>
      <c r="E262" s="75"/>
      <c r="F262" s="75"/>
      <c r="G262" s="75"/>
      <c r="H262" s="75"/>
      <c r="I262" s="75"/>
      <c r="J262" s="76"/>
      <c r="K262" s="77" t="s">
        <v>134</v>
      </c>
      <c r="L262" s="75"/>
      <c r="M262" s="76"/>
      <c r="N262" s="77" t="s">
        <v>135</v>
      </c>
      <c r="O262" s="75"/>
      <c r="P262" s="76"/>
      <c r="Q262" s="77" t="s">
        <v>136</v>
      </c>
      <c r="R262" s="75"/>
      <c r="S262" s="75"/>
      <c r="T262" s="76"/>
      <c r="U262" s="77" t="s">
        <v>137</v>
      </c>
      <c r="V262" s="75"/>
      <c r="W262" s="75"/>
      <c r="X262" s="76"/>
      <c r="Y262" s="77" t="s">
        <v>138</v>
      </c>
      <c r="Z262" s="75"/>
      <c r="AA262" s="75"/>
      <c r="AB262" s="75"/>
      <c r="AC262" s="76"/>
      <c r="AD262" s="77" t="s">
        <v>156</v>
      </c>
      <c r="AE262" s="75"/>
      <c r="AF262" s="75"/>
      <c r="AG262" s="75"/>
      <c r="AH262" s="75"/>
      <c r="AI262" s="76"/>
      <c r="AJ262" s="77" t="s">
        <v>157</v>
      </c>
      <c r="AK262" s="75"/>
      <c r="AL262" s="75"/>
      <c r="AM262" s="75"/>
      <c r="AN262" s="75"/>
      <c r="AO262" s="76"/>
    </row>
    <row r="263" spans="3:50" ht="18" customHeight="1">
      <c r="C263" s="90">
        <v>1</v>
      </c>
      <c r="D263" s="79" t="s">
        <v>72</v>
      </c>
      <c r="E263" s="79" t="s">
        <v>73</v>
      </c>
      <c r="F263" s="79"/>
      <c r="G263" s="79"/>
      <c r="H263" s="79"/>
      <c r="I263" s="79"/>
      <c r="J263" s="80"/>
      <c r="K263" s="91">
        <f>AG244*1000</f>
        <v>2640</v>
      </c>
      <c r="L263" s="92"/>
      <c r="M263" s="93"/>
      <c r="N263" s="91">
        <f>AG245*1000</f>
        <v>21</v>
      </c>
      <c r="O263" s="92"/>
      <c r="P263" s="93"/>
      <c r="Q263" s="94">
        <f aca="true" t="shared" si="6" ref="Q263:Q268">C263*K263*N263</f>
        <v>55440</v>
      </c>
      <c r="R263" s="95"/>
      <c r="S263" s="95"/>
      <c r="T263" s="96"/>
      <c r="U263" s="97">
        <f>-(N263+AG238*1000)/2</f>
        <v>-1310.5</v>
      </c>
      <c r="V263" s="98"/>
      <c r="W263" s="98"/>
      <c r="X263" s="99"/>
      <c r="Y263" s="94">
        <f aca="true" t="shared" si="7" ref="Y263:Y268">Q263*U263</f>
        <v>-72654120</v>
      </c>
      <c r="Z263" s="95"/>
      <c r="AA263" s="95"/>
      <c r="AB263" s="95"/>
      <c r="AC263" s="96"/>
      <c r="AD263" s="94">
        <f aca="true" t="shared" si="8" ref="AD263:AD268">U263*Y263</f>
        <v>95213224260</v>
      </c>
      <c r="AE263" s="95"/>
      <c r="AF263" s="95"/>
      <c r="AG263" s="95"/>
      <c r="AH263" s="95"/>
      <c r="AI263" s="96"/>
      <c r="AJ263" s="94">
        <f>C263*K263*POWER(N263,3)/12</f>
        <v>2037420</v>
      </c>
      <c r="AK263" s="95"/>
      <c r="AL263" s="95"/>
      <c r="AM263" s="95"/>
      <c r="AN263" s="95"/>
      <c r="AO263" s="96"/>
      <c r="AS263" s="3"/>
      <c r="AT263" s="3"/>
      <c r="AU263" s="3"/>
      <c r="AV263" s="100"/>
      <c r="AW263" s="3"/>
      <c r="AX263" s="3"/>
    </row>
    <row r="264" spans="3:50" ht="18" customHeight="1">
      <c r="C264" s="101">
        <v>5</v>
      </c>
      <c r="D264" s="79" t="s">
        <v>72</v>
      </c>
      <c r="E264" s="79" t="s">
        <v>74</v>
      </c>
      <c r="F264" s="79"/>
      <c r="G264" s="79"/>
      <c r="H264" s="79"/>
      <c r="I264" s="79"/>
      <c r="J264" s="80"/>
      <c r="K264" s="91">
        <f>AJ250</f>
        <v>14</v>
      </c>
      <c r="L264" s="92"/>
      <c r="M264" s="93"/>
      <c r="N264" s="91">
        <f>AG250</f>
        <v>150</v>
      </c>
      <c r="O264" s="92"/>
      <c r="P264" s="93"/>
      <c r="Q264" s="94">
        <f t="shared" si="6"/>
        <v>10500</v>
      </c>
      <c r="R264" s="95"/>
      <c r="S264" s="95"/>
      <c r="T264" s="96"/>
      <c r="U264" s="97">
        <f>-(AG238*1000-N264)/2</f>
        <v>-1225</v>
      </c>
      <c r="V264" s="98"/>
      <c r="W264" s="98"/>
      <c r="X264" s="99"/>
      <c r="Y264" s="94">
        <f t="shared" si="7"/>
        <v>-12862500</v>
      </c>
      <c r="Z264" s="95"/>
      <c r="AA264" s="95"/>
      <c r="AB264" s="95"/>
      <c r="AC264" s="96"/>
      <c r="AD264" s="94">
        <f t="shared" si="8"/>
        <v>15756562500</v>
      </c>
      <c r="AE264" s="95"/>
      <c r="AF264" s="95"/>
      <c r="AG264" s="95"/>
      <c r="AH264" s="95"/>
      <c r="AI264" s="96"/>
      <c r="AJ264" s="94">
        <f>C264*K264*POWER(N264,3)/12</f>
        <v>19687500</v>
      </c>
      <c r="AK264" s="95"/>
      <c r="AL264" s="95"/>
      <c r="AM264" s="95"/>
      <c r="AN264" s="95"/>
      <c r="AO264" s="96"/>
      <c r="AS264" s="3"/>
      <c r="AT264" s="3"/>
      <c r="AU264" s="3"/>
      <c r="AV264" s="3"/>
      <c r="AW264" s="3"/>
      <c r="AX264" s="3"/>
    </row>
    <row r="265" spans="3:50" ht="18" customHeight="1">
      <c r="C265" s="102">
        <v>1</v>
      </c>
      <c r="D265" s="103" t="s">
        <v>72</v>
      </c>
      <c r="E265" s="103" t="s">
        <v>139</v>
      </c>
      <c r="F265" s="103"/>
      <c r="G265" s="103"/>
      <c r="H265" s="103"/>
      <c r="I265" s="103"/>
      <c r="J265" s="104"/>
      <c r="K265" s="97">
        <f>AG247*1000</f>
        <v>10</v>
      </c>
      <c r="L265" s="81"/>
      <c r="M265" s="86"/>
      <c r="N265" s="97">
        <f>AG238/COS(RADIANS(F245))*1000</f>
        <v>2604.3233286210834</v>
      </c>
      <c r="O265" s="81"/>
      <c r="P265" s="86"/>
      <c r="Q265" s="105">
        <f t="shared" si="6"/>
        <v>26043.233286210834</v>
      </c>
      <c r="R265" s="106"/>
      <c r="S265" s="106"/>
      <c r="T265" s="107"/>
      <c r="U265" s="97">
        <v>0</v>
      </c>
      <c r="V265" s="98"/>
      <c r="W265" s="98"/>
      <c r="X265" s="99"/>
      <c r="Y265" s="108">
        <f t="shared" si="7"/>
        <v>0</v>
      </c>
      <c r="Z265" s="109"/>
      <c r="AA265" s="109"/>
      <c r="AB265" s="109"/>
      <c r="AC265" s="110"/>
      <c r="AD265" s="108">
        <f t="shared" si="8"/>
        <v>0</v>
      </c>
      <c r="AE265" s="109"/>
      <c r="AF265" s="109"/>
      <c r="AG265" s="109"/>
      <c r="AH265" s="109"/>
      <c r="AI265" s="110"/>
      <c r="AJ265" s="108">
        <f>C266*K266*N266/12*((N266*COS(RADIANS(F245)))^2+(K266*SIN(RADIANS(F245)))^2)</f>
        <v>14671022137.85546</v>
      </c>
      <c r="AK265" s="109"/>
      <c r="AL265" s="109"/>
      <c r="AM265" s="109"/>
      <c r="AN265" s="109"/>
      <c r="AO265" s="110"/>
      <c r="AS265" s="3"/>
      <c r="AT265" s="3"/>
      <c r="AU265" s="3"/>
      <c r="AV265" s="3"/>
      <c r="AW265" s="3"/>
      <c r="AX265" s="3"/>
    </row>
    <row r="266" spans="3:50" ht="18" customHeight="1">
      <c r="C266" s="102">
        <v>1</v>
      </c>
      <c r="D266" s="103" t="s">
        <v>72</v>
      </c>
      <c r="E266" s="103" t="s">
        <v>140</v>
      </c>
      <c r="F266" s="103"/>
      <c r="G266" s="103"/>
      <c r="H266" s="103"/>
      <c r="I266" s="103"/>
      <c r="J266" s="104"/>
      <c r="K266" s="97">
        <f>AG247*1000</f>
        <v>10</v>
      </c>
      <c r="L266" s="81"/>
      <c r="M266" s="86"/>
      <c r="N266" s="97">
        <f>AG238/COS(RADIANS(X245))*1000</f>
        <v>2604.3233286210834</v>
      </c>
      <c r="O266" s="81"/>
      <c r="P266" s="86"/>
      <c r="Q266" s="105">
        <f t="shared" si="6"/>
        <v>26043.233286210834</v>
      </c>
      <c r="R266" s="106"/>
      <c r="S266" s="106"/>
      <c r="T266" s="107"/>
      <c r="U266" s="97">
        <v>0</v>
      </c>
      <c r="V266" s="98"/>
      <c r="W266" s="98"/>
      <c r="X266" s="99"/>
      <c r="Y266" s="108">
        <f t="shared" si="7"/>
        <v>0</v>
      </c>
      <c r="Z266" s="109"/>
      <c r="AA266" s="109"/>
      <c r="AB266" s="109"/>
      <c r="AC266" s="110"/>
      <c r="AD266" s="108">
        <f t="shared" si="8"/>
        <v>0</v>
      </c>
      <c r="AE266" s="109"/>
      <c r="AF266" s="109"/>
      <c r="AG266" s="109"/>
      <c r="AH266" s="109"/>
      <c r="AI266" s="110"/>
      <c r="AJ266" s="108">
        <f>C266*K266*N266/12*((N266*COS(RADIANS(X245)))^2+(K266*SIN(RADIANS(X245)))^2)</f>
        <v>14671022137.85546</v>
      </c>
      <c r="AK266" s="109"/>
      <c r="AL266" s="109"/>
      <c r="AM266" s="109"/>
      <c r="AN266" s="109"/>
      <c r="AO266" s="110"/>
      <c r="AS266" s="3"/>
      <c r="AT266" s="3"/>
      <c r="AU266" s="3"/>
      <c r="AV266" s="3"/>
      <c r="AW266" s="3"/>
      <c r="AX266" s="3"/>
    </row>
    <row r="267" spans="3:41" ht="18" customHeight="1">
      <c r="C267" s="101">
        <v>2</v>
      </c>
      <c r="D267" s="79" t="s">
        <v>72</v>
      </c>
      <c r="E267" s="79" t="s">
        <v>75</v>
      </c>
      <c r="F267" s="79"/>
      <c r="G267" s="79"/>
      <c r="H267" s="79"/>
      <c r="I267" s="79"/>
      <c r="J267" s="80"/>
      <c r="K267" s="91">
        <f>AQ250</f>
        <v>14</v>
      </c>
      <c r="L267" s="92"/>
      <c r="M267" s="93"/>
      <c r="N267" s="91">
        <f>AN250</f>
        <v>150</v>
      </c>
      <c r="O267" s="92"/>
      <c r="P267" s="93"/>
      <c r="Q267" s="94">
        <f t="shared" si="6"/>
        <v>4200</v>
      </c>
      <c r="R267" s="95"/>
      <c r="S267" s="95"/>
      <c r="T267" s="96"/>
      <c r="U267" s="97">
        <f>(AG238*1000-N267)/2</f>
        <v>1225</v>
      </c>
      <c r="V267" s="98"/>
      <c r="W267" s="98"/>
      <c r="X267" s="99"/>
      <c r="Y267" s="94">
        <f t="shared" si="7"/>
        <v>5145000</v>
      </c>
      <c r="Z267" s="95"/>
      <c r="AA267" s="95"/>
      <c r="AB267" s="95"/>
      <c r="AC267" s="96"/>
      <c r="AD267" s="94">
        <f t="shared" si="8"/>
        <v>6302625000</v>
      </c>
      <c r="AE267" s="95"/>
      <c r="AF267" s="95"/>
      <c r="AG267" s="95"/>
      <c r="AH267" s="95"/>
      <c r="AI267" s="96"/>
      <c r="AJ267" s="94">
        <f>C267*K267*POWER(N267,3)/12</f>
        <v>7875000</v>
      </c>
      <c r="AK267" s="95"/>
      <c r="AL267" s="95"/>
      <c r="AM267" s="95"/>
      <c r="AN267" s="95"/>
      <c r="AO267" s="96"/>
    </row>
    <row r="268" spans="3:41" ht="18" customHeight="1">
      <c r="C268" s="90">
        <v>1</v>
      </c>
      <c r="D268" s="79" t="s">
        <v>72</v>
      </c>
      <c r="E268" s="79" t="s">
        <v>76</v>
      </c>
      <c r="F268" s="79"/>
      <c r="G268" s="79"/>
      <c r="H268" s="79"/>
      <c r="I268" s="79"/>
      <c r="J268" s="80"/>
      <c r="K268" s="91">
        <f>AM244*1000</f>
        <v>2340</v>
      </c>
      <c r="L268" s="92"/>
      <c r="M268" s="93"/>
      <c r="N268" s="91">
        <f>AG246*1000</f>
        <v>21</v>
      </c>
      <c r="O268" s="92"/>
      <c r="P268" s="93"/>
      <c r="Q268" s="94">
        <f t="shared" si="6"/>
        <v>49140</v>
      </c>
      <c r="R268" s="95"/>
      <c r="S268" s="95"/>
      <c r="T268" s="96"/>
      <c r="U268" s="97">
        <f>(N268+AG238*1000)/2</f>
        <v>1310.5</v>
      </c>
      <c r="V268" s="98"/>
      <c r="W268" s="98"/>
      <c r="X268" s="99"/>
      <c r="Y268" s="94">
        <f t="shared" si="7"/>
        <v>64397970</v>
      </c>
      <c r="Z268" s="95"/>
      <c r="AA268" s="95"/>
      <c r="AB268" s="95"/>
      <c r="AC268" s="96"/>
      <c r="AD268" s="94">
        <f t="shared" si="8"/>
        <v>84393539685</v>
      </c>
      <c r="AE268" s="95"/>
      <c r="AF268" s="95"/>
      <c r="AG268" s="95"/>
      <c r="AH268" s="95"/>
      <c r="AI268" s="96"/>
      <c r="AJ268" s="94">
        <f>C268*K268*POWER(N268,3)/12</f>
        <v>1805895</v>
      </c>
      <c r="AK268" s="95"/>
      <c r="AL268" s="95"/>
      <c r="AM268" s="95"/>
      <c r="AN268" s="95"/>
      <c r="AO268" s="96"/>
    </row>
    <row r="269" spans="3:41" ht="18" customHeight="1">
      <c r="C269" s="111" t="s">
        <v>141</v>
      </c>
      <c r="D269" s="92"/>
      <c r="E269" s="92"/>
      <c r="F269" s="92"/>
      <c r="G269" s="92"/>
      <c r="H269" s="92"/>
      <c r="I269" s="92"/>
      <c r="J269" s="93"/>
      <c r="K269" s="78"/>
      <c r="L269" s="79"/>
      <c r="M269" s="80"/>
      <c r="N269" s="78"/>
      <c r="O269" s="79"/>
      <c r="P269" s="80"/>
      <c r="Q269" s="112">
        <f>SUM(Q263:Q268)</f>
        <v>171366.46657242166</v>
      </c>
      <c r="R269" s="113"/>
      <c r="S269" s="113"/>
      <c r="T269" s="114"/>
      <c r="U269" s="115"/>
      <c r="V269" s="116"/>
      <c r="W269" s="116"/>
      <c r="X269" s="117"/>
      <c r="Y269" s="94">
        <f>SUM(Y263:Y268)</f>
        <v>-15973650</v>
      </c>
      <c r="Z269" s="95"/>
      <c r="AA269" s="95"/>
      <c r="AB269" s="95"/>
      <c r="AC269" s="96"/>
      <c r="AD269" s="94">
        <f>SUM(AD263:AD268)</f>
        <v>201665951445</v>
      </c>
      <c r="AE269" s="95"/>
      <c r="AF269" s="95"/>
      <c r="AG269" s="95"/>
      <c r="AH269" s="95"/>
      <c r="AI269" s="96"/>
      <c r="AJ269" s="94">
        <f>SUM(AJ263:AJ268)</f>
        <v>29373450090.71092</v>
      </c>
      <c r="AK269" s="95"/>
      <c r="AL269" s="95"/>
      <c r="AM269" s="95"/>
      <c r="AN269" s="95"/>
      <c r="AO269" s="96"/>
    </row>
    <row r="270" spans="7:20" ht="18" customHeight="1">
      <c r="G270" s="118"/>
      <c r="H270" s="118"/>
      <c r="I270" s="118"/>
      <c r="J270" s="118"/>
      <c r="K270" s="3"/>
      <c r="P270" s="119"/>
      <c r="Q270" s="119"/>
      <c r="R270" s="119"/>
      <c r="S270" s="119"/>
      <c r="T270" s="3"/>
    </row>
    <row r="271" spans="7:20" ht="18" customHeight="1">
      <c r="G271" s="118"/>
      <c r="H271" s="118"/>
      <c r="I271" s="118"/>
      <c r="J271" s="118"/>
      <c r="K271" s="3"/>
      <c r="P271" s="119"/>
      <c r="Q271" s="119"/>
      <c r="R271" s="119"/>
      <c r="S271" s="119"/>
      <c r="T271" s="3"/>
    </row>
    <row r="272" ht="18" customHeight="1">
      <c r="A272" s="120" t="s">
        <v>143</v>
      </c>
    </row>
    <row r="283" ht="18" customHeight="1">
      <c r="B283" s="53" t="s">
        <v>144</v>
      </c>
    </row>
    <row r="284" spans="3:32" ht="18" customHeight="1">
      <c r="C284" s="53" t="s">
        <v>77</v>
      </c>
      <c r="L284" s="121">
        <f>AD269</f>
        <v>201665951445</v>
      </c>
      <c r="M284" s="121"/>
      <c r="N284" s="121"/>
      <c r="O284" s="121"/>
      <c r="P284" s="121"/>
      <c r="Q284" s="53" t="s">
        <v>78</v>
      </c>
      <c r="R284" s="122">
        <f>AJ269</f>
        <v>29373450090.71092</v>
      </c>
      <c r="S284" s="122"/>
      <c r="T284" s="122"/>
      <c r="U284" s="122"/>
      <c r="V284" s="122"/>
      <c r="W284" s="122"/>
      <c r="X284" s="122"/>
      <c r="Y284" s="53" t="s">
        <v>79</v>
      </c>
      <c r="Z284" s="121">
        <f>L284+R284</f>
        <v>231039401535.7109</v>
      </c>
      <c r="AA284" s="121"/>
      <c r="AB284" s="121"/>
      <c r="AC284" s="121"/>
      <c r="AD284" s="121"/>
      <c r="AE284" s="121"/>
      <c r="AF284" s="1" t="s">
        <v>158</v>
      </c>
    </row>
    <row r="285" spans="3:30" ht="18" customHeight="1">
      <c r="C285" s="53" t="s">
        <v>80</v>
      </c>
      <c r="L285" s="121">
        <f>Y269</f>
        <v>-15973650</v>
      </c>
      <c r="M285" s="121"/>
      <c r="N285" s="121"/>
      <c r="O285" s="121"/>
      <c r="P285" s="121"/>
      <c r="Q285" s="53" t="s">
        <v>81</v>
      </c>
      <c r="R285" s="121">
        <f>Q269</f>
        <v>171366.46657242166</v>
      </c>
      <c r="S285" s="121"/>
      <c r="T285" s="121"/>
      <c r="U285" s="121"/>
      <c r="V285" s="121"/>
      <c r="W285" s="53" t="s">
        <v>79</v>
      </c>
      <c r="X285" s="123">
        <f>L285/R285</f>
        <v>-93.21339419255243</v>
      </c>
      <c r="Y285" s="123"/>
      <c r="Z285" s="123"/>
      <c r="AA285" s="123"/>
      <c r="AB285" s="123"/>
      <c r="AC285" s="123"/>
      <c r="AD285" s="2" t="s">
        <v>145</v>
      </c>
    </row>
    <row r="286" spans="2:43" ht="18" customHeight="1">
      <c r="B286" s="3"/>
      <c r="C286" s="3" t="s">
        <v>82</v>
      </c>
      <c r="D286" s="3"/>
      <c r="E286" s="3"/>
      <c r="F286" s="3"/>
      <c r="G286" s="3"/>
      <c r="H286" s="3"/>
      <c r="I286" s="3"/>
      <c r="J286" s="3"/>
      <c r="K286" s="3"/>
      <c r="L286" s="124">
        <f>Z284</f>
        <v>231039401535.7109</v>
      </c>
      <c r="M286" s="124"/>
      <c r="N286" s="124"/>
      <c r="O286" s="124"/>
      <c r="P286" s="124"/>
      <c r="Q286" s="3" t="s">
        <v>72</v>
      </c>
      <c r="R286" s="124">
        <f>Q269</f>
        <v>171366.46657242166</v>
      </c>
      <c r="S286" s="124"/>
      <c r="T286" s="124"/>
      <c r="U286" s="124"/>
      <c r="V286" s="124"/>
      <c r="W286" s="3" t="s">
        <v>83</v>
      </c>
      <c r="X286" s="125">
        <f>X285</f>
        <v>-93.21339419255243</v>
      </c>
      <c r="Y286" s="33"/>
      <c r="Z286" s="33"/>
      <c r="AA286" s="33"/>
      <c r="AB286" s="33"/>
      <c r="AC286" s="3" t="s">
        <v>79</v>
      </c>
      <c r="AD286" s="124">
        <f>L286-R286*X286^2</f>
        <v>229550443401.56705</v>
      </c>
      <c r="AE286" s="124"/>
      <c r="AF286" s="124"/>
      <c r="AG286" s="124"/>
      <c r="AH286" s="124"/>
      <c r="AI286" s="124"/>
      <c r="AJ286" s="1" t="s">
        <v>158</v>
      </c>
      <c r="AK286" s="3"/>
      <c r="AL286" s="3"/>
      <c r="AM286" s="3"/>
      <c r="AN286" s="3"/>
      <c r="AO286" s="3"/>
      <c r="AP286" s="3"/>
      <c r="AQ286" s="3"/>
    </row>
    <row r="287" spans="2:43" ht="18" customHeight="1">
      <c r="B287" s="3"/>
      <c r="C287" s="3" t="s">
        <v>146</v>
      </c>
      <c r="D287" s="3"/>
      <c r="E287" s="3"/>
      <c r="F287" s="3"/>
      <c r="G287" s="3"/>
      <c r="H287" s="3"/>
      <c r="I287" s="3"/>
      <c r="J287" s="3"/>
      <c r="K287" s="3"/>
      <c r="L287" s="3"/>
      <c r="M287" s="126">
        <f>-AG238*1000</f>
        <v>-2600</v>
      </c>
      <c r="N287" s="33"/>
      <c r="O287" s="33"/>
      <c r="P287" s="33"/>
      <c r="Q287" s="3" t="s">
        <v>84</v>
      </c>
      <c r="R287" s="3"/>
      <c r="S287" s="3"/>
      <c r="T287" s="3" t="s">
        <v>147</v>
      </c>
      <c r="U287" s="126">
        <f>N263</f>
        <v>21</v>
      </c>
      <c r="V287" s="33"/>
      <c r="W287" s="3" t="s">
        <v>72</v>
      </c>
      <c r="X287" s="33">
        <f>X286</f>
        <v>-93.21339419255243</v>
      </c>
      <c r="Y287" s="33"/>
      <c r="Z287" s="33"/>
      <c r="AA287" s="33"/>
      <c r="AB287" s="33"/>
      <c r="AC287" s="3" t="s">
        <v>79</v>
      </c>
      <c r="AD287" s="33">
        <f>M287/2-U287-X287</f>
        <v>-1227.7866058074476</v>
      </c>
      <c r="AE287" s="33"/>
      <c r="AF287" s="33"/>
      <c r="AG287" s="33"/>
      <c r="AH287" s="33"/>
      <c r="AI287" s="33"/>
      <c r="AJ287" s="2" t="s">
        <v>145</v>
      </c>
      <c r="AK287" s="3"/>
      <c r="AL287" s="3"/>
      <c r="AM287" s="3"/>
      <c r="AN287" s="3"/>
      <c r="AO287" s="3"/>
      <c r="AP287" s="3"/>
      <c r="AQ287" s="3"/>
    </row>
    <row r="288" spans="1:43" ht="18" customHeight="1">
      <c r="A288" s="3"/>
      <c r="B288" s="3"/>
      <c r="C288" s="3" t="s">
        <v>148</v>
      </c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3">
        <f>AD287</f>
        <v>-1227.7866058074476</v>
      </c>
      <c r="Q288" s="33"/>
      <c r="R288" s="33"/>
      <c r="S288" s="33"/>
      <c r="T288" s="33"/>
      <c r="U288" s="3" t="s">
        <v>149</v>
      </c>
      <c r="V288" s="33">
        <f>(AG238+AG245+AG246)*1000</f>
        <v>2642</v>
      </c>
      <c r="W288" s="33"/>
      <c r="X288" s="33"/>
      <c r="Y288" s="33"/>
      <c r="Z288" s="3" t="s">
        <v>79</v>
      </c>
      <c r="AA288" s="33">
        <f>P288+V288</f>
        <v>1414.2133941925524</v>
      </c>
      <c r="AB288" s="33"/>
      <c r="AC288" s="33"/>
      <c r="AD288" s="33"/>
      <c r="AE288" s="33"/>
      <c r="AF288" s="2" t="s">
        <v>145</v>
      </c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</row>
    <row r="289" spans="1:45" ht="18" customHeight="1">
      <c r="A289" s="3"/>
      <c r="B289" s="3"/>
      <c r="C289" s="3" t="s">
        <v>150</v>
      </c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 t="s">
        <v>151</v>
      </c>
      <c r="AB289" s="126">
        <f>((AG239+AM239+AG240)/2+AG247)*(AG238+AG245/2+AG246/2)*1000000</f>
        <v>5923459.999999999</v>
      </c>
      <c r="AC289" s="126"/>
      <c r="AD289" s="126"/>
      <c r="AE289" s="126"/>
      <c r="AF289" s="126"/>
      <c r="AG289" s="3" t="s">
        <v>142</v>
      </c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</row>
    <row r="290" spans="1:45" ht="18" customHeight="1">
      <c r="A290" s="3"/>
      <c r="B290" s="3"/>
      <c r="C290" s="3" t="s">
        <v>55</v>
      </c>
      <c r="D290" s="3"/>
      <c r="E290" s="3"/>
      <c r="F290" s="3"/>
      <c r="G290" s="3"/>
      <c r="H290" s="3"/>
      <c r="I290" s="3"/>
      <c r="J290" s="3"/>
      <c r="K290" s="3"/>
      <c r="L290" s="3"/>
      <c r="M290" s="33">
        <f>AG254*1000000*P288/AD286</f>
        <v>-27.507528300269577</v>
      </c>
      <c r="N290" s="33"/>
      <c r="O290" s="33"/>
      <c r="P290" s="33"/>
      <c r="Q290" s="33"/>
      <c r="R290" s="3" t="s">
        <v>101</v>
      </c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</row>
    <row r="291" spans="1:45" ht="18" customHeight="1">
      <c r="A291" s="3"/>
      <c r="B291" s="3"/>
      <c r="C291" s="3" t="s">
        <v>56</v>
      </c>
      <c r="D291" s="3"/>
      <c r="E291" s="3"/>
      <c r="F291" s="3"/>
      <c r="G291" s="3"/>
      <c r="H291" s="3"/>
      <c r="I291" s="3"/>
      <c r="J291" s="3"/>
      <c r="K291" s="3"/>
      <c r="L291" s="3"/>
      <c r="M291" s="33">
        <f>AG254*1000000*AA288/AD286</f>
        <v>31.684264007578538</v>
      </c>
      <c r="N291" s="33"/>
      <c r="O291" s="33"/>
      <c r="P291" s="33"/>
      <c r="Q291" s="33"/>
      <c r="R291" s="3" t="s">
        <v>101</v>
      </c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</row>
    <row r="292" spans="1:45" ht="18" customHeight="1">
      <c r="A292" s="3"/>
      <c r="B292" s="3"/>
      <c r="C292" s="3" t="s">
        <v>57</v>
      </c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3">
        <f>ABS(AG256)*1000/(Q265+Q266)+ABS(AG258)*1000000/(2*AB289*AG247*1000)</f>
        <v>2.5152843976781663</v>
      </c>
      <c r="T292" s="33"/>
      <c r="U292" s="33"/>
      <c r="V292" s="33"/>
      <c r="W292" s="33"/>
      <c r="X292" s="3" t="s">
        <v>101</v>
      </c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</row>
    <row r="293" spans="1:45" ht="18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</row>
    <row r="294" spans="1:45" ht="18" customHeight="1">
      <c r="A294" s="3"/>
      <c r="B294" s="3" t="s">
        <v>58</v>
      </c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</row>
    <row r="295" spans="1:46" ht="18" customHeight="1">
      <c r="A295" s="3"/>
      <c r="B295" s="3"/>
      <c r="C295" s="3" t="s">
        <v>105</v>
      </c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3">
        <f>AG255*1000000/AD286*AD287</f>
        <v>-19.893688194361076</v>
      </c>
      <c r="O295" s="33"/>
      <c r="P295" s="33"/>
      <c r="Q295" s="33"/>
      <c r="R295" s="33"/>
      <c r="S295" s="3" t="s">
        <v>101</v>
      </c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61"/>
    </row>
    <row r="296" spans="1:45" ht="18" customHeight="1">
      <c r="A296" s="3"/>
      <c r="B296" s="3"/>
      <c r="C296" s="3" t="s">
        <v>106</v>
      </c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3">
        <f>AG255*1000000/AD286*AA288</f>
        <v>22.91434046542115</v>
      </c>
      <c r="O296" s="33"/>
      <c r="P296" s="33"/>
      <c r="Q296" s="33"/>
      <c r="R296" s="33"/>
      <c r="S296" s="3" t="s">
        <v>101</v>
      </c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</row>
    <row r="297" spans="1:45" ht="18" customHeight="1">
      <c r="A297" s="3"/>
      <c r="B297" s="3"/>
      <c r="C297" s="3" t="s">
        <v>107</v>
      </c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3">
        <f>ABS(AG257)*1000/(Q265+Q266)+ABS(AG259)*100000/(2*AB289*AG247*100)</f>
        <v>7.288127464624076</v>
      </c>
      <c r="T297" s="33"/>
      <c r="U297" s="33"/>
      <c r="V297" s="33"/>
      <c r="W297" s="33"/>
      <c r="X297" s="3" t="s">
        <v>101</v>
      </c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</row>
    <row r="298" spans="1:45" ht="18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</row>
    <row r="299" spans="1:54" ht="18" customHeight="1">
      <c r="A299" s="3"/>
      <c r="B299" s="3" t="s">
        <v>59</v>
      </c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U299" s="4" t="s">
        <v>159</v>
      </c>
      <c r="AV299" s="4"/>
      <c r="AW299" s="4"/>
      <c r="AX299" s="4"/>
      <c r="AY299" s="4"/>
      <c r="AZ299" s="4"/>
      <c r="BA299" s="4"/>
      <c r="BB299" s="4"/>
    </row>
    <row r="300" spans="1:88" ht="18" customHeight="1">
      <c r="A300" s="3"/>
      <c r="B300" s="3"/>
      <c r="C300" s="3" t="s">
        <v>108</v>
      </c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3">
        <f>ABS((AG256+AG257)*1000/(Q265+Q266))+ABS((AG258+AG259)/(2*AB289*AG247*1000))*1000000</f>
        <v>9.80341186230224</v>
      </c>
      <c r="AA300" s="33"/>
      <c r="AB300" s="33"/>
      <c r="AC300" s="33"/>
      <c r="AD300" s="3" t="s">
        <v>101</v>
      </c>
      <c r="AE300" s="3"/>
      <c r="AF300" s="3" t="s">
        <v>86</v>
      </c>
      <c r="AG300" s="3" t="s">
        <v>87</v>
      </c>
      <c r="AH300" s="3"/>
      <c r="AI300" s="3"/>
      <c r="AJ300" s="127">
        <f>HLOOKUP(AG236,AX300:CJ303,AU300,FALSE)</f>
        <v>120</v>
      </c>
      <c r="AK300" s="33"/>
      <c r="AL300" s="33"/>
      <c r="AM300" s="3" t="s">
        <v>101</v>
      </c>
      <c r="AN300" s="3"/>
      <c r="AO300" s="3"/>
      <c r="AP300" s="3" t="str">
        <f>IF(Z300&lt;AJ300,"O.K.","N.G.")</f>
        <v>O.K.</v>
      </c>
      <c r="AQ300" s="3"/>
      <c r="AR300" s="3"/>
      <c r="AS300" s="3"/>
      <c r="AU300" s="128">
        <f>IF(AG247&lt;=0.04,2,IF(AG247&lt;=0.075,3,4))</f>
        <v>2</v>
      </c>
      <c r="AV300" s="129"/>
      <c r="AW300" s="130"/>
      <c r="AX300" s="25" t="s">
        <v>4</v>
      </c>
      <c r="AY300" s="26"/>
      <c r="AZ300" s="27"/>
      <c r="BA300" s="25" t="s">
        <v>5</v>
      </c>
      <c r="BB300" s="26"/>
      <c r="BC300" s="27"/>
      <c r="BD300" s="25" t="s">
        <v>6</v>
      </c>
      <c r="BE300" s="26"/>
      <c r="BF300" s="27"/>
      <c r="BG300" s="25" t="s">
        <v>7</v>
      </c>
      <c r="BH300" s="26"/>
      <c r="BI300" s="27"/>
      <c r="BJ300" s="25" t="s">
        <v>88</v>
      </c>
      <c r="BK300" s="26"/>
      <c r="BL300" s="27"/>
      <c r="BM300" s="131" t="s">
        <v>8</v>
      </c>
      <c r="BN300" s="132"/>
      <c r="BO300" s="133"/>
      <c r="BP300" s="25" t="s">
        <v>9</v>
      </c>
      <c r="BQ300" s="26"/>
      <c r="BR300" s="27"/>
      <c r="BS300" s="25" t="s">
        <v>10</v>
      </c>
      <c r="BT300" s="26"/>
      <c r="BU300" s="27"/>
      <c r="BV300" s="25" t="s">
        <v>11</v>
      </c>
      <c r="BW300" s="26"/>
      <c r="BX300" s="27"/>
      <c r="BY300" s="131" t="s">
        <v>12</v>
      </c>
      <c r="BZ300" s="132"/>
      <c r="CA300" s="133"/>
      <c r="CB300" s="25" t="s">
        <v>13</v>
      </c>
      <c r="CC300" s="26"/>
      <c r="CD300" s="27"/>
      <c r="CE300" s="25" t="s">
        <v>14</v>
      </c>
      <c r="CF300" s="26"/>
      <c r="CG300" s="27"/>
      <c r="CH300" s="131" t="s">
        <v>15</v>
      </c>
      <c r="CI300" s="132"/>
      <c r="CJ300" s="133"/>
    </row>
    <row r="301" spans="1:88" ht="18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U301" s="19">
        <v>40</v>
      </c>
      <c r="AV301" s="20"/>
      <c r="AW301" s="21"/>
      <c r="AX301" s="19">
        <v>80</v>
      </c>
      <c r="AY301" s="20"/>
      <c r="AZ301" s="21"/>
      <c r="BA301" s="19">
        <f>AX301</f>
        <v>80</v>
      </c>
      <c r="BB301" s="20"/>
      <c r="BC301" s="21"/>
      <c r="BD301" s="19">
        <f>AX301</f>
        <v>80</v>
      </c>
      <c r="BE301" s="20"/>
      <c r="BF301" s="21"/>
      <c r="BG301" s="19">
        <v>80</v>
      </c>
      <c r="BH301" s="20"/>
      <c r="BI301" s="21"/>
      <c r="BJ301" s="19">
        <v>105</v>
      </c>
      <c r="BK301" s="20"/>
      <c r="BL301" s="21"/>
      <c r="BM301" s="19">
        <v>105</v>
      </c>
      <c r="BN301" s="20"/>
      <c r="BO301" s="21"/>
      <c r="BP301" s="19">
        <v>120</v>
      </c>
      <c r="BQ301" s="20"/>
      <c r="BR301" s="21"/>
      <c r="BS301" s="19">
        <f>BP301</f>
        <v>120</v>
      </c>
      <c r="BT301" s="20"/>
      <c r="BU301" s="21"/>
      <c r="BV301" s="19">
        <f>BP301</f>
        <v>120</v>
      </c>
      <c r="BW301" s="20"/>
      <c r="BX301" s="21"/>
      <c r="BY301" s="19">
        <v>120</v>
      </c>
      <c r="BZ301" s="20"/>
      <c r="CA301" s="21"/>
      <c r="CB301" s="19">
        <v>145</v>
      </c>
      <c r="CC301" s="20"/>
      <c r="CD301" s="21"/>
      <c r="CE301" s="19">
        <f>CB301</f>
        <v>145</v>
      </c>
      <c r="CF301" s="20"/>
      <c r="CG301" s="21"/>
      <c r="CH301" s="19">
        <v>145</v>
      </c>
      <c r="CI301" s="20"/>
      <c r="CJ301" s="21"/>
    </row>
    <row r="302" spans="1:88" ht="18" customHeight="1">
      <c r="A302" s="3"/>
      <c r="B302" s="3" t="s">
        <v>60</v>
      </c>
      <c r="C302" s="3"/>
      <c r="D302" s="3"/>
      <c r="E302" s="3"/>
      <c r="F302" s="3"/>
      <c r="G302" s="3"/>
      <c r="H302" s="3"/>
      <c r="I302" s="3"/>
      <c r="J302" s="3"/>
      <c r="K302" s="134"/>
      <c r="L302" s="3"/>
      <c r="M302" s="3"/>
      <c r="N302" s="3"/>
      <c r="O302" s="3"/>
      <c r="P302" s="3"/>
      <c r="Q302" s="3"/>
      <c r="R302" s="3"/>
      <c r="S302" s="3"/>
      <c r="T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U302" s="135" t="s">
        <v>16</v>
      </c>
      <c r="AV302" s="136"/>
      <c r="AW302" s="137"/>
      <c r="AX302" s="19">
        <v>75</v>
      </c>
      <c r="AY302" s="20"/>
      <c r="AZ302" s="21"/>
      <c r="BA302" s="19">
        <f>AX302</f>
        <v>75</v>
      </c>
      <c r="BB302" s="20"/>
      <c r="BC302" s="21"/>
      <c r="BD302" s="19">
        <f>AX302</f>
        <v>75</v>
      </c>
      <c r="BE302" s="20"/>
      <c r="BF302" s="21"/>
      <c r="BG302" s="19">
        <v>80</v>
      </c>
      <c r="BH302" s="20"/>
      <c r="BI302" s="21"/>
      <c r="BJ302" s="19">
        <v>100</v>
      </c>
      <c r="BK302" s="20"/>
      <c r="BL302" s="21"/>
      <c r="BM302" s="19">
        <v>105</v>
      </c>
      <c r="BN302" s="20"/>
      <c r="BO302" s="21"/>
      <c r="BP302" s="19">
        <v>115</v>
      </c>
      <c r="BQ302" s="20"/>
      <c r="BR302" s="21"/>
      <c r="BS302" s="19">
        <f>BP302</f>
        <v>115</v>
      </c>
      <c r="BT302" s="20"/>
      <c r="BU302" s="21"/>
      <c r="BV302" s="19">
        <f>BP302</f>
        <v>115</v>
      </c>
      <c r="BW302" s="20"/>
      <c r="BX302" s="21"/>
      <c r="BY302" s="19">
        <v>120</v>
      </c>
      <c r="BZ302" s="20"/>
      <c r="CA302" s="21"/>
      <c r="CB302" s="19">
        <v>140</v>
      </c>
      <c r="CC302" s="20"/>
      <c r="CD302" s="21"/>
      <c r="CE302" s="19">
        <f>CB302</f>
        <v>140</v>
      </c>
      <c r="CF302" s="20"/>
      <c r="CG302" s="21"/>
      <c r="CH302" s="19">
        <v>145</v>
      </c>
      <c r="CI302" s="20"/>
      <c r="CJ302" s="21"/>
    </row>
    <row r="303" spans="1:88" ht="18" customHeight="1">
      <c r="A303" s="3"/>
      <c r="B303" s="3"/>
      <c r="C303" s="3" t="s">
        <v>160</v>
      </c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U303" s="135" t="s">
        <v>17</v>
      </c>
      <c r="AV303" s="136"/>
      <c r="AW303" s="137"/>
      <c r="AX303" s="19">
        <v>75</v>
      </c>
      <c r="AY303" s="20"/>
      <c r="AZ303" s="21"/>
      <c r="BA303" s="19">
        <f>AX303</f>
        <v>75</v>
      </c>
      <c r="BB303" s="20"/>
      <c r="BC303" s="21"/>
      <c r="BD303" s="19">
        <f>AX303</f>
        <v>75</v>
      </c>
      <c r="BE303" s="20"/>
      <c r="BF303" s="21"/>
      <c r="BG303" s="19">
        <v>80</v>
      </c>
      <c r="BH303" s="20"/>
      <c r="BI303" s="21"/>
      <c r="BJ303" s="19">
        <v>100</v>
      </c>
      <c r="BK303" s="20"/>
      <c r="BL303" s="21"/>
      <c r="BM303" s="19">
        <v>105</v>
      </c>
      <c r="BN303" s="20"/>
      <c r="BO303" s="21"/>
      <c r="BP303" s="19">
        <v>110</v>
      </c>
      <c r="BQ303" s="20"/>
      <c r="BR303" s="21"/>
      <c r="BS303" s="19">
        <f>BP303</f>
        <v>110</v>
      </c>
      <c r="BT303" s="20"/>
      <c r="BU303" s="21"/>
      <c r="BV303" s="19">
        <f>BP303</f>
        <v>110</v>
      </c>
      <c r="BW303" s="20"/>
      <c r="BX303" s="21"/>
      <c r="BY303" s="19">
        <v>120</v>
      </c>
      <c r="BZ303" s="20"/>
      <c r="CA303" s="21"/>
      <c r="CB303" s="19">
        <v>135</v>
      </c>
      <c r="CC303" s="20"/>
      <c r="CD303" s="21"/>
      <c r="CE303" s="19">
        <f>CB303</f>
        <v>135</v>
      </c>
      <c r="CF303" s="20"/>
      <c r="CG303" s="21"/>
      <c r="CH303" s="19">
        <v>145</v>
      </c>
      <c r="CI303" s="20"/>
      <c r="CJ303" s="21"/>
    </row>
    <row r="304" spans="1:57" ht="18" customHeight="1">
      <c r="A304" s="3"/>
      <c r="B304" s="3"/>
      <c r="C304" s="3"/>
      <c r="D304" s="3" t="s">
        <v>79</v>
      </c>
      <c r="E304" s="33">
        <v>0.65</v>
      </c>
      <c r="F304" s="33"/>
      <c r="G304" s="33"/>
      <c r="H304" s="3" t="s">
        <v>83</v>
      </c>
      <c r="I304" s="3" t="s">
        <v>85</v>
      </c>
      <c r="J304" s="126">
        <v>0</v>
      </c>
      <c r="K304" s="33"/>
      <c r="L304" s="3" t="s">
        <v>81</v>
      </c>
      <c r="M304" s="127">
        <f>IF((AG254+AG255)&gt;=0,C264+1,C267+1)</f>
        <v>6</v>
      </c>
      <c r="N304" s="33"/>
      <c r="O304" s="3" t="s">
        <v>161</v>
      </c>
      <c r="P304" s="3" t="s">
        <v>78</v>
      </c>
      <c r="Q304" s="33">
        <v>0.13</v>
      </c>
      <c r="R304" s="33"/>
      <c r="S304" s="33"/>
      <c r="T304" s="3" t="s">
        <v>83</v>
      </c>
      <c r="U304" s="3" t="s">
        <v>85</v>
      </c>
      <c r="V304" s="126">
        <v>0</v>
      </c>
      <c r="W304" s="33"/>
      <c r="X304" s="3" t="s">
        <v>81</v>
      </c>
      <c r="Y304" s="127">
        <f>M304</f>
        <v>6</v>
      </c>
      <c r="Z304" s="33"/>
      <c r="AA304" s="3" t="s">
        <v>89</v>
      </c>
      <c r="AB304" s="3" t="s">
        <v>78</v>
      </c>
      <c r="AC304" s="126">
        <v>1</v>
      </c>
      <c r="AD304" s="33"/>
      <c r="AE304" s="3" t="s">
        <v>79</v>
      </c>
      <c r="AF304" s="33">
        <v>1</v>
      </c>
      <c r="AG304" s="33"/>
      <c r="AH304" s="33"/>
      <c r="AI304" s="3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U304" s="5" t="s">
        <v>162</v>
      </c>
      <c r="AV304" s="5"/>
      <c r="AW304" s="5"/>
      <c r="AX304" s="5"/>
      <c r="AY304" s="5"/>
      <c r="AZ304" s="5"/>
      <c r="BA304" s="5"/>
      <c r="BB304" s="5"/>
      <c r="BC304" s="5"/>
      <c r="BD304" s="5"/>
      <c r="BE304" s="5"/>
    </row>
    <row r="305" spans="1:88" ht="18" customHeight="1">
      <c r="A305" s="3"/>
      <c r="B305" s="3"/>
      <c r="C305" s="3"/>
      <c r="D305" s="3" t="s">
        <v>163</v>
      </c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138"/>
      <c r="AU305" s="19">
        <f>IF(AG246&lt;=0.04,2,IF(AG246&lt;=0.075,3,4))</f>
        <v>2</v>
      </c>
      <c r="AV305" s="20"/>
      <c r="AW305" s="21"/>
      <c r="AX305" s="25" t="s">
        <v>4</v>
      </c>
      <c r="AY305" s="26"/>
      <c r="AZ305" s="27"/>
      <c r="BA305" s="25" t="s">
        <v>5</v>
      </c>
      <c r="BB305" s="26"/>
      <c r="BC305" s="27"/>
      <c r="BD305" s="25" t="s">
        <v>6</v>
      </c>
      <c r="BE305" s="26"/>
      <c r="BF305" s="27"/>
      <c r="BG305" s="25" t="s">
        <v>7</v>
      </c>
      <c r="BH305" s="26"/>
      <c r="BI305" s="27"/>
      <c r="BJ305" s="25" t="s">
        <v>88</v>
      </c>
      <c r="BK305" s="26"/>
      <c r="BL305" s="27"/>
      <c r="BM305" s="131" t="s">
        <v>8</v>
      </c>
      <c r="BN305" s="132"/>
      <c r="BO305" s="133"/>
      <c r="BP305" s="25" t="s">
        <v>9</v>
      </c>
      <c r="BQ305" s="26"/>
      <c r="BR305" s="27"/>
      <c r="BS305" s="25" t="s">
        <v>10</v>
      </c>
      <c r="BT305" s="26"/>
      <c r="BU305" s="27"/>
      <c r="BV305" s="25" t="s">
        <v>11</v>
      </c>
      <c r="BW305" s="26"/>
      <c r="BX305" s="27"/>
      <c r="BY305" s="131" t="s">
        <v>12</v>
      </c>
      <c r="BZ305" s="132"/>
      <c r="CA305" s="133"/>
      <c r="CB305" s="25" t="s">
        <v>13</v>
      </c>
      <c r="CC305" s="26"/>
      <c r="CD305" s="27"/>
      <c r="CE305" s="25" t="s">
        <v>14</v>
      </c>
      <c r="CF305" s="26"/>
      <c r="CG305" s="27"/>
      <c r="CH305" s="131" t="s">
        <v>15</v>
      </c>
      <c r="CI305" s="132"/>
      <c r="CJ305" s="133"/>
    </row>
    <row r="306" spans="1:88" ht="18" customHeight="1">
      <c r="A306" s="3"/>
      <c r="B306" s="3"/>
      <c r="C306" s="3"/>
      <c r="D306" s="3" t="s">
        <v>18</v>
      </c>
      <c r="E306" s="3"/>
      <c r="F306" s="3"/>
      <c r="G306" s="3"/>
      <c r="H306" s="3" t="s">
        <v>19</v>
      </c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138"/>
      <c r="AU306" s="19">
        <v>40</v>
      </c>
      <c r="AV306" s="20"/>
      <c r="AW306" s="21"/>
      <c r="AX306" s="19">
        <v>140</v>
      </c>
      <c r="AY306" s="20"/>
      <c r="AZ306" s="21"/>
      <c r="BA306" s="19">
        <f>AX306</f>
        <v>140</v>
      </c>
      <c r="BB306" s="20"/>
      <c r="BC306" s="21"/>
      <c r="BD306" s="19">
        <f>AX306</f>
        <v>140</v>
      </c>
      <c r="BE306" s="20"/>
      <c r="BF306" s="21"/>
      <c r="BG306" s="19">
        <v>140</v>
      </c>
      <c r="BH306" s="20"/>
      <c r="BI306" s="21"/>
      <c r="BJ306" s="19">
        <v>185</v>
      </c>
      <c r="BK306" s="20"/>
      <c r="BL306" s="21"/>
      <c r="BM306" s="19">
        <f>BJ306</f>
        <v>185</v>
      </c>
      <c r="BN306" s="20"/>
      <c r="BO306" s="21"/>
      <c r="BP306" s="19">
        <v>210</v>
      </c>
      <c r="BQ306" s="20"/>
      <c r="BR306" s="21"/>
      <c r="BS306" s="19">
        <f>BP306</f>
        <v>210</v>
      </c>
      <c r="BT306" s="20"/>
      <c r="BU306" s="21"/>
      <c r="BV306" s="19">
        <f>BP306</f>
        <v>210</v>
      </c>
      <c r="BW306" s="20"/>
      <c r="BX306" s="21"/>
      <c r="BY306" s="19">
        <v>210</v>
      </c>
      <c r="BZ306" s="20"/>
      <c r="CA306" s="21"/>
      <c r="CB306" s="19">
        <v>255</v>
      </c>
      <c r="CC306" s="20"/>
      <c r="CD306" s="21"/>
      <c r="CE306" s="19">
        <f>CB306</f>
        <v>255</v>
      </c>
      <c r="CF306" s="20"/>
      <c r="CG306" s="21"/>
      <c r="CH306" s="19">
        <f>CE306</f>
        <v>255</v>
      </c>
      <c r="CI306" s="20"/>
      <c r="CJ306" s="21"/>
    </row>
    <row r="307" spans="1:88" ht="18" customHeight="1">
      <c r="A307" s="3"/>
      <c r="B307" s="3"/>
      <c r="C307" s="3"/>
      <c r="D307" s="3"/>
      <c r="E307" s="3"/>
      <c r="F307" s="3"/>
      <c r="G307" s="3"/>
      <c r="H307" s="3" t="s">
        <v>20</v>
      </c>
      <c r="I307" s="3"/>
      <c r="J307" s="3"/>
      <c r="K307" s="3"/>
      <c r="L307" s="3"/>
      <c r="M307" s="3"/>
      <c r="N307" s="3"/>
      <c r="O307" s="3"/>
      <c r="P307" s="3"/>
      <c r="Q307" s="3" t="s">
        <v>21</v>
      </c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138"/>
      <c r="AU307" s="135" t="s">
        <v>16</v>
      </c>
      <c r="AV307" s="136"/>
      <c r="AW307" s="137"/>
      <c r="AX307" s="19">
        <v>125</v>
      </c>
      <c r="AY307" s="20"/>
      <c r="AZ307" s="21"/>
      <c r="BA307" s="19">
        <f>AX307</f>
        <v>125</v>
      </c>
      <c r="BB307" s="20"/>
      <c r="BC307" s="21"/>
      <c r="BD307" s="19">
        <f>AX307</f>
        <v>125</v>
      </c>
      <c r="BE307" s="20"/>
      <c r="BF307" s="21"/>
      <c r="BG307" s="19">
        <v>140</v>
      </c>
      <c r="BH307" s="20"/>
      <c r="BI307" s="21"/>
      <c r="BJ307" s="19">
        <v>175</v>
      </c>
      <c r="BK307" s="20"/>
      <c r="BL307" s="21"/>
      <c r="BM307" s="19">
        <f>BM306</f>
        <v>185</v>
      </c>
      <c r="BN307" s="20"/>
      <c r="BO307" s="21"/>
      <c r="BP307" s="19">
        <v>195</v>
      </c>
      <c r="BQ307" s="20"/>
      <c r="BR307" s="21"/>
      <c r="BS307" s="19">
        <f>BP307</f>
        <v>195</v>
      </c>
      <c r="BT307" s="20"/>
      <c r="BU307" s="21"/>
      <c r="BV307" s="19">
        <f>BP307</f>
        <v>195</v>
      </c>
      <c r="BW307" s="20"/>
      <c r="BX307" s="21"/>
      <c r="BY307" s="19">
        <v>210</v>
      </c>
      <c r="BZ307" s="20"/>
      <c r="CA307" s="21"/>
      <c r="CB307" s="19">
        <v>245</v>
      </c>
      <c r="CC307" s="20"/>
      <c r="CD307" s="21"/>
      <c r="CE307" s="19">
        <f>CB307</f>
        <v>245</v>
      </c>
      <c r="CF307" s="20"/>
      <c r="CG307" s="21"/>
      <c r="CH307" s="19">
        <f>CH306</f>
        <v>255</v>
      </c>
      <c r="CI307" s="20"/>
      <c r="CJ307" s="21"/>
    </row>
    <row r="308" spans="1:88" ht="18" customHeight="1">
      <c r="A308" s="3"/>
      <c r="B308" s="3"/>
      <c r="C308" s="3"/>
      <c r="D308" s="3"/>
      <c r="E308" s="3"/>
      <c r="F308" s="3"/>
      <c r="G308" s="3"/>
      <c r="H308" s="3" t="s">
        <v>164</v>
      </c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U308" s="135" t="s">
        <v>17</v>
      </c>
      <c r="AV308" s="136"/>
      <c r="AW308" s="137"/>
      <c r="AX308" s="19">
        <v>125</v>
      </c>
      <c r="AY308" s="20"/>
      <c r="AZ308" s="21"/>
      <c r="BA308" s="19">
        <f>AX308</f>
        <v>125</v>
      </c>
      <c r="BB308" s="20"/>
      <c r="BC308" s="21"/>
      <c r="BD308" s="19">
        <f>AX308</f>
        <v>125</v>
      </c>
      <c r="BE308" s="20"/>
      <c r="BF308" s="21"/>
      <c r="BG308" s="19">
        <v>140</v>
      </c>
      <c r="BH308" s="20"/>
      <c r="BI308" s="21"/>
      <c r="BJ308" s="19">
        <v>175</v>
      </c>
      <c r="BK308" s="20"/>
      <c r="BL308" s="21"/>
      <c r="BM308" s="19">
        <f>BM306</f>
        <v>185</v>
      </c>
      <c r="BN308" s="20"/>
      <c r="BO308" s="21"/>
      <c r="BP308" s="19">
        <v>190</v>
      </c>
      <c r="BQ308" s="20"/>
      <c r="BR308" s="21"/>
      <c r="BS308" s="19">
        <f>BP308</f>
        <v>190</v>
      </c>
      <c r="BT308" s="20"/>
      <c r="BU308" s="21"/>
      <c r="BV308" s="19">
        <f>BP308</f>
        <v>190</v>
      </c>
      <c r="BW308" s="20"/>
      <c r="BX308" s="21"/>
      <c r="BY308" s="19">
        <v>210</v>
      </c>
      <c r="BZ308" s="20"/>
      <c r="CA308" s="21"/>
      <c r="CB308" s="19">
        <v>240</v>
      </c>
      <c r="CC308" s="20"/>
      <c r="CD308" s="21"/>
      <c r="CE308" s="19">
        <f>CB308</f>
        <v>240</v>
      </c>
      <c r="CF308" s="20"/>
      <c r="CG308" s="21"/>
      <c r="CH308" s="19">
        <f>CH306</f>
        <v>255</v>
      </c>
      <c r="CI308" s="20"/>
      <c r="CJ308" s="21"/>
    </row>
    <row r="309" spans="1:57" ht="18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 t="s">
        <v>165</v>
      </c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6"/>
      <c r="AU309" s="5" t="s">
        <v>166</v>
      </c>
      <c r="AV309" s="5"/>
      <c r="AW309" s="5"/>
      <c r="AX309" s="5"/>
      <c r="AY309" s="5"/>
      <c r="AZ309" s="5"/>
      <c r="BA309" s="5"/>
      <c r="BB309" s="5"/>
      <c r="BC309" s="5"/>
      <c r="BD309" s="5"/>
      <c r="BE309" s="5"/>
    </row>
    <row r="310" spans="1:88" ht="18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7"/>
      <c r="AU310" s="19">
        <f>IF(AG245&lt;=0.04,2,IF(AG245&lt;=0.075,3,4))</f>
        <v>2</v>
      </c>
      <c r="AV310" s="20"/>
      <c r="AW310" s="21"/>
      <c r="AX310" s="25" t="s">
        <v>4</v>
      </c>
      <c r="AY310" s="26"/>
      <c r="AZ310" s="27"/>
      <c r="BA310" s="25" t="s">
        <v>5</v>
      </c>
      <c r="BB310" s="26"/>
      <c r="BC310" s="27"/>
      <c r="BD310" s="25" t="s">
        <v>6</v>
      </c>
      <c r="BE310" s="26"/>
      <c r="BF310" s="27"/>
      <c r="BG310" s="25" t="s">
        <v>7</v>
      </c>
      <c r="BH310" s="26"/>
      <c r="BI310" s="27"/>
      <c r="BJ310" s="25" t="s">
        <v>88</v>
      </c>
      <c r="BK310" s="26"/>
      <c r="BL310" s="27"/>
      <c r="BM310" s="131" t="s">
        <v>8</v>
      </c>
      <c r="BN310" s="132"/>
      <c r="BO310" s="133"/>
      <c r="BP310" s="25" t="s">
        <v>9</v>
      </c>
      <c r="BQ310" s="26"/>
      <c r="BR310" s="27"/>
      <c r="BS310" s="25" t="s">
        <v>10</v>
      </c>
      <c r="BT310" s="26"/>
      <c r="BU310" s="27"/>
      <c r="BV310" s="25" t="s">
        <v>11</v>
      </c>
      <c r="BW310" s="26"/>
      <c r="BX310" s="27"/>
      <c r="BY310" s="131" t="s">
        <v>12</v>
      </c>
      <c r="BZ310" s="132"/>
      <c r="CA310" s="133"/>
      <c r="CB310" s="25" t="s">
        <v>13</v>
      </c>
      <c r="CC310" s="26"/>
      <c r="CD310" s="27"/>
      <c r="CE310" s="25" t="s">
        <v>14</v>
      </c>
      <c r="CF310" s="26"/>
      <c r="CG310" s="27"/>
      <c r="CH310" s="131" t="s">
        <v>15</v>
      </c>
      <c r="CI310" s="132"/>
      <c r="CJ310" s="133"/>
    </row>
    <row r="311" spans="1:88" ht="18" customHeight="1">
      <c r="A311" s="3"/>
      <c r="B311" s="3"/>
      <c r="C311" s="3" t="s">
        <v>22</v>
      </c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 t="s">
        <v>85</v>
      </c>
      <c r="S311" s="33" t="str">
        <f>AG236</f>
        <v>SMA490</v>
      </c>
      <c r="T311" s="33"/>
      <c r="U311" s="33"/>
      <c r="V311" s="33"/>
      <c r="W311" s="3" t="s">
        <v>23</v>
      </c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139"/>
      <c r="AU311" s="19">
        <v>40</v>
      </c>
      <c r="AV311" s="20"/>
      <c r="AW311" s="21"/>
      <c r="AX311" s="19">
        <v>140</v>
      </c>
      <c r="AY311" s="20"/>
      <c r="AZ311" s="21"/>
      <c r="BA311" s="19">
        <f>AX311</f>
        <v>140</v>
      </c>
      <c r="BB311" s="20"/>
      <c r="BC311" s="21"/>
      <c r="BD311" s="19">
        <f>AX311</f>
        <v>140</v>
      </c>
      <c r="BE311" s="20"/>
      <c r="BF311" s="21"/>
      <c r="BG311" s="19">
        <v>140</v>
      </c>
      <c r="BH311" s="20"/>
      <c r="BI311" s="21"/>
      <c r="BJ311" s="19">
        <v>185</v>
      </c>
      <c r="BK311" s="20"/>
      <c r="BL311" s="21"/>
      <c r="BM311" s="19">
        <f>BJ311</f>
        <v>185</v>
      </c>
      <c r="BN311" s="20"/>
      <c r="BO311" s="21"/>
      <c r="BP311" s="19">
        <v>210</v>
      </c>
      <c r="BQ311" s="20"/>
      <c r="BR311" s="21"/>
      <c r="BS311" s="19">
        <f>BP311</f>
        <v>210</v>
      </c>
      <c r="BT311" s="20"/>
      <c r="BU311" s="21"/>
      <c r="BV311" s="19">
        <f>BP311</f>
        <v>210</v>
      </c>
      <c r="BW311" s="20"/>
      <c r="BX311" s="21"/>
      <c r="BY311" s="19">
        <v>210</v>
      </c>
      <c r="BZ311" s="20"/>
      <c r="CA311" s="21"/>
      <c r="CB311" s="19">
        <v>255</v>
      </c>
      <c r="CC311" s="20"/>
      <c r="CD311" s="21"/>
      <c r="CE311" s="19">
        <f>CB311</f>
        <v>255</v>
      </c>
      <c r="CF311" s="20"/>
      <c r="CG311" s="21"/>
      <c r="CH311" s="19">
        <f>CE311</f>
        <v>255</v>
      </c>
      <c r="CI311" s="20"/>
      <c r="CJ311" s="21"/>
    </row>
    <row r="312" spans="1:88" ht="18" customHeight="1">
      <c r="A312" s="3"/>
      <c r="B312" s="3"/>
      <c r="C312" s="3"/>
      <c r="D312" s="3"/>
      <c r="E312" s="3" t="s">
        <v>90</v>
      </c>
      <c r="F312" s="3"/>
      <c r="G312" s="3"/>
      <c r="H312" s="126">
        <f>HLOOKUP(S311,AX305:CJ308,AU305,FALSE)</f>
        <v>210</v>
      </c>
      <c r="I312" s="126"/>
      <c r="J312" s="126"/>
      <c r="K312" s="126"/>
      <c r="L312" s="3" t="s">
        <v>101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U312" s="135" t="s">
        <v>16</v>
      </c>
      <c r="AV312" s="136"/>
      <c r="AW312" s="137"/>
      <c r="AX312" s="19">
        <v>125</v>
      </c>
      <c r="AY312" s="20"/>
      <c r="AZ312" s="21"/>
      <c r="BA312" s="19">
        <f>AX312</f>
        <v>125</v>
      </c>
      <c r="BB312" s="20"/>
      <c r="BC312" s="21"/>
      <c r="BD312" s="19">
        <f>AX312</f>
        <v>125</v>
      </c>
      <c r="BE312" s="20"/>
      <c r="BF312" s="21"/>
      <c r="BG312" s="19">
        <v>140</v>
      </c>
      <c r="BH312" s="20"/>
      <c r="BI312" s="21"/>
      <c r="BJ312" s="19">
        <v>175</v>
      </c>
      <c r="BK312" s="20"/>
      <c r="BL312" s="21"/>
      <c r="BM312" s="19">
        <f>BM311</f>
        <v>185</v>
      </c>
      <c r="BN312" s="20"/>
      <c r="BO312" s="21"/>
      <c r="BP312" s="19">
        <v>195</v>
      </c>
      <c r="BQ312" s="20"/>
      <c r="BR312" s="21"/>
      <c r="BS312" s="19">
        <f>BP312</f>
        <v>195</v>
      </c>
      <c r="BT312" s="20"/>
      <c r="BU312" s="21"/>
      <c r="BV312" s="19">
        <f>BP312</f>
        <v>195</v>
      </c>
      <c r="BW312" s="20"/>
      <c r="BX312" s="21"/>
      <c r="BY312" s="19">
        <v>210</v>
      </c>
      <c r="BZ312" s="20"/>
      <c r="CA312" s="21"/>
      <c r="CB312" s="19">
        <v>245</v>
      </c>
      <c r="CC312" s="20"/>
      <c r="CD312" s="21"/>
      <c r="CE312" s="19">
        <f>CB312</f>
        <v>245</v>
      </c>
      <c r="CF312" s="20"/>
      <c r="CG312" s="21"/>
      <c r="CH312" s="19">
        <f>CH311</f>
        <v>255</v>
      </c>
      <c r="CI312" s="20"/>
      <c r="CJ312" s="21"/>
    </row>
    <row r="313" spans="1:88" ht="18" customHeight="1">
      <c r="A313" s="3"/>
      <c r="B313" s="3"/>
      <c r="C313" s="3" t="s">
        <v>24</v>
      </c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 t="s">
        <v>85</v>
      </c>
      <c r="S313" s="33" t="str">
        <f>S311</f>
        <v>SMA490</v>
      </c>
      <c r="T313" s="33"/>
      <c r="U313" s="33"/>
      <c r="V313" s="33"/>
      <c r="W313" s="3" t="s">
        <v>23</v>
      </c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U313" s="135" t="s">
        <v>17</v>
      </c>
      <c r="AV313" s="136"/>
      <c r="AW313" s="137"/>
      <c r="AX313" s="19">
        <v>125</v>
      </c>
      <c r="AY313" s="20"/>
      <c r="AZ313" s="21"/>
      <c r="BA313" s="19">
        <f>AX313</f>
        <v>125</v>
      </c>
      <c r="BB313" s="20"/>
      <c r="BC313" s="21"/>
      <c r="BD313" s="19">
        <f>AX313</f>
        <v>125</v>
      </c>
      <c r="BE313" s="20"/>
      <c r="BF313" s="21"/>
      <c r="BG313" s="19">
        <v>140</v>
      </c>
      <c r="BH313" s="20"/>
      <c r="BI313" s="21"/>
      <c r="BJ313" s="19">
        <v>175</v>
      </c>
      <c r="BK313" s="20"/>
      <c r="BL313" s="21"/>
      <c r="BM313" s="19">
        <f>BM311</f>
        <v>185</v>
      </c>
      <c r="BN313" s="20"/>
      <c r="BO313" s="21"/>
      <c r="BP313" s="19">
        <v>190</v>
      </c>
      <c r="BQ313" s="20"/>
      <c r="BR313" s="21"/>
      <c r="BS313" s="19">
        <f>BP313</f>
        <v>190</v>
      </c>
      <c r="BT313" s="20"/>
      <c r="BU313" s="21"/>
      <c r="BV313" s="19">
        <f>BP313</f>
        <v>190</v>
      </c>
      <c r="BW313" s="20"/>
      <c r="BX313" s="21"/>
      <c r="BY313" s="19">
        <v>210</v>
      </c>
      <c r="BZ313" s="20"/>
      <c r="CA313" s="21"/>
      <c r="CB313" s="19">
        <v>240</v>
      </c>
      <c r="CC313" s="20"/>
      <c r="CD313" s="21"/>
      <c r="CE313" s="19">
        <f>CB313</f>
        <v>240</v>
      </c>
      <c r="CF313" s="20"/>
      <c r="CG313" s="21"/>
      <c r="CH313" s="19">
        <f>CH311</f>
        <v>255</v>
      </c>
      <c r="CI313" s="20"/>
      <c r="CJ313" s="21"/>
    </row>
    <row r="314" spans="1:58" ht="18" customHeight="1">
      <c r="A314" s="3"/>
      <c r="B314" s="3"/>
      <c r="C314" s="3"/>
      <c r="D314" s="3"/>
      <c r="E314" s="33" t="s">
        <v>167</v>
      </c>
      <c r="F314" s="33"/>
      <c r="G314" s="33"/>
      <c r="H314" s="33"/>
      <c r="I314" s="33"/>
      <c r="J314" s="140"/>
      <c r="K314" s="141" t="s">
        <v>91</v>
      </c>
      <c r="L314" s="141"/>
      <c r="M314" s="140"/>
      <c r="N314" s="140"/>
      <c r="O314" s="3"/>
      <c r="P314" s="33" t="s">
        <v>79</v>
      </c>
      <c r="Q314" s="3"/>
      <c r="R314" s="140"/>
      <c r="S314" s="140"/>
      <c r="T314" s="142">
        <f>(AG239+AM239)*1000</f>
        <v>2400</v>
      </c>
      <c r="U314" s="141"/>
      <c r="V314" s="141"/>
      <c r="W314" s="140"/>
      <c r="X314" s="140"/>
      <c r="Y314" s="140"/>
      <c r="Z314" s="140"/>
      <c r="AA314" s="33" t="s">
        <v>79</v>
      </c>
      <c r="AB314" s="33"/>
      <c r="AC314" s="126">
        <f>T314/(R315*U315*Y315)</f>
        <v>18.181818181818183</v>
      </c>
      <c r="AD314" s="126"/>
      <c r="AE314" s="126"/>
      <c r="AF314" s="33" t="s">
        <v>71</v>
      </c>
      <c r="AG314" s="3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U314" s="5" t="s">
        <v>168</v>
      </c>
      <c r="AV314" s="5"/>
      <c r="AW314" s="5"/>
      <c r="AX314" s="5"/>
      <c r="AY314" s="5"/>
      <c r="AZ314" s="5"/>
      <c r="BA314" s="8"/>
      <c r="BB314" s="8"/>
      <c r="BC314" s="8"/>
      <c r="BD314" s="8"/>
      <c r="BE314" s="8"/>
      <c r="BF314" s="3"/>
    </row>
    <row r="315" spans="1:88" ht="18" customHeight="1">
      <c r="A315" s="3"/>
      <c r="B315" s="3"/>
      <c r="C315" s="3"/>
      <c r="D315" s="3"/>
      <c r="E315" s="33"/>
      <c r="F315" s="33"/>
      <c r="G315" s="33"/>
      <c r="H315" s="33"/>
      <c r="I315" s="33"/>
      <c r="J315" s="143">
        <f>HLOOKUP(S313,AX315:CJ318,AU316,FALSE)</f>
        <v>22</v>
      </c>
      <c r="K315" s="144"/>
      <c r="L315" s="3" t="s">
        <v>92</v>
      </c>
      <c r="M315" s="3"/>
      <c r="N315" s="3"/>
      <c r="O315" s="3"/>
      <c r="P315" s="33"/>
      <c r="Q315" s="3"/>
      <c r="R315" s="143">
        <f>J315</f>
        <v>22</v>
      </c>
      <c r="S315" s="144"/>
      <c r="T315" s="3" t="s">
        <v>83</v>
      </c>
      <c r="U315" s="144">
        <f>AF304</f>
        <v>1</v>
      </c>
      <c r="V315" s="144"/>
      <c r="W315" s="144"/>
      <c r="X315" s="3" t="s">
        <v>83</v>
      </c>
      <c r="Y315" s="143">
        <f>C264+1</f>
        <v>6</v>
      </c>
      <c r="Z315" s="144"/>
      <c r="AA315" s="33"/>
      <c r="AB315" s="33"/>
      <c r="AC315" s="126"/>
      <c r="AD315" s="126"/>
      <c r="AE315" s="126"/>
      <c r="AF315" s="33"/>
      <c r="AG315" s="3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U315" s="19">
        <f>AU310</f>
        <v>2</v>
      </c>
      <c r="AV315" s="20"/>
      <c r="AW315" s="21"/>
      <c r="AX315" s="25" t="s">
        <v>4</v>
      </c>
      <c r="AY315" s="26"/>
      <c r="AZ315" s="27"/>
      <c r="BA315" s="28" t="s">
        <v>5</v>
      </c>
      <c r="BB315" s="29"/>
      <c r="BC315" s="30"/>
      <c r="BD315" s="28" t="s">
        <v>6</v>
      </c>
      <c r="BE315" s="29"/>
      <c r="BF315" s="30"/>
      <c r="BG315" s="25" t="s">
        <v>7</v>
      </c>
      <c r="BH315" s="26"/>
      <c r="BI315" s="27"/>
      <c r="BJ315" s="25" t="s">
        <v>88</v>
      </c>
      <c r="BK315" s="26"/>
      <c r="BL315" s="27"/>
      <c r="BM315" s="131" t="s">
        <v>8</v>
      </c>
      <c r="BN315" s="132"/>
      <c r="BO315" s="133"/>
      <c r="BP315" s="25" t="s">
        <v>9</v>
      </c>
      <c r="BQ315" s="26"/>
      <c r="BR315" s="27"/>
      <c r="BS315" s="25" t="s">
        <v>10</v>
      </c>
      <c r="BT315" s="26"/>
      <c r="BU315" s="27"/>
      <c r="BV315" s="25" t="s">
        <v>11</v>
      </c>
      <c r="BW315" s="26"/>
      <c r="BX315" s="27"/>
      <c r="BY315" s="131" t="s">
        <v>12</v>
      </c>
      <c r="BZ315" s="132"/>
      <c r="CA315" s="133"/>
      <c r="CB315" s="25" t="s">
        <v>13</v>
      </c>
      <c r="CC315" s="26"/>
      <c r="CD315" s="27"/>
      <c r="CE315" s="25" t="s">
        <v>14</v>
      </c>
      <c r="CF315" s="26"/>
      <c r="CG315" s="27"/>
      <c r="CH315" s="131" t="s">
        <v>15</v>
      </c>
      <c r="CI315" s="132"/>
      <c r="CJ315" s="133"/>
    </row>
    <row r="316" spans="1:88" ht="18" customHeight="1">
      <c r="A316" s="3"/>
      <c r="B316" s="3"/>
      <c r="C316" s="3"/>
      <c r="D316" s="3"/>
      <c r="E316" s="3"/>
      <c r="F316" s="3"/>
      <c r="G316" s="3" t="s">
        <v>25</v>
      </c>
      <c r="H316" s="3"/>
      <c r="I316" s="3"/>
      <c r="J316" s="3"/>
      <c r="K316" s="3"/>
      <c r="L316" s="3"/>
      <c r="M316" s="3"/>
      <c r="N316" s="3"/>
      <c r="O316" s="65">
        <f>HLOOKUP(S313,AX310:CJ313,AU310,FALSE)</f>
        <v>210</v>
      </c>
      <c r="P316" s="65"/>
      <c r="Q316" s="65"/>
      <c r="R316" s="65"/>
      <c r="S316" s="3" t="s">
        <v>101</v>
      </c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U316" s="19">
        <v>2</v>
      </c>
      <c r="AV316" s="20"/>
      <c r="AW316" s="21"/>
      <c r="AX316" s="16">
        <v>28</v>
      </c>
      <c r="AY316" s="16"/>
      <c r="AZ316" s="16"/>
      <c r="BA316" s="18">
        <f>AX316</f>
        <v>28</v>
      </c>
      <c r="BB316" s="18"/>
      <c r="BC316" s="18"/>
      <c r="BD316" s="18">
        <f>AX316</f>
        <v>28</v>
      </c>
      <c r="BE316" s="18"/>
      <c r="BF316" s="18"/>
      <c r="BG316" s="16">
        <f>BA316</f>
        <v>28</v>
      </c>
      <c r="BH316" s="16"/>
      <c r="BI316" s="16"/>
      <c r="BJ316" s="17">
        <v>24</v>
      </c>
      <c r="BK316" s="17"/>
      <c r="BL316" s="17"/>
      <c r="BM316" s="17">
        <f>BJ316</f>
        <v>24</v>
      </c>
      <c r="BN316" s="17"/>
      <c r="BO316" s="17"/>
      <c r="BP316" s="17">
        <v>22</v>
      </c>
      <c r="BQ316" s="17"/>
      <c r="BR316" s="17"/>
      <c r="BS316" s="17">
        <f>BP316</f>
        <v>22</v>
      </c>
      <c r="BT316" s="17"/>
      <c r="BU316" s="17"/>
      <c r="BV316" s="17">
        <f>BP316</f>
        <v>22</v>
      </c>
      <c r="BW316" s="17"/>
      <c r="BX316" s="17"/>
      <c r="BY316" s="16">
        <f>BP316</f>
        <v>22</v>
      </c>
      <c r="BZ316" s="16"/>
      <c r="CA316" s="16"/>
      <c r="CB316" s="16">
        <v>22</v>
      </c>
      <c r="CC316" s="16"/>
      <c r="CD316" s="16"/>
      <c r="CE316" s="16">
        <f>CB316</f>
        <v>22</v>
      </c>
      <c r="CF316" s="16"/>
      <c r="CG316" s="16"/>
      <c r="CH316" s="16">
        <f>CB316</f>
        <v>22</v>
      </c>
      <c r="CI316" s="16"/>
      <c r="CJ316" s="16"/>
    </row>
    <row r="317" spans="1:88" ht="18" customHeight="1">
      <c r="A317" s="3"/>
      <c r="B317" s="3"/>
      <c r="C317" s="3"/>
      <c r="D317" s="3"/>
      <c r="E317" s="140"/>
      <c r="F317" s="141" t="s">
        <v>91</v>
      </c>
      <c r="G317" s="141"/>
      <c r="H317" s="140"/>
      <c r="I317" s="3"/>
      <c r="J317" s="33" t="s">
        <v>93</v>
      </c>
      <c r="K317" s="33" t="s">
        <v>167</v>
      </c>
      <c r="L317" s="33"/>
      <c r="M317" s="33"/>
      <c r="N317" s="33"/>
      <c r="O317" s="33"/>
      <c r="P317" s="140"/>
      <c r="Q317" s="141" t="s">
        <v>91</v>
      </c>
      <c r="R317" s="141"/>
      <c r="S317" s="140"/>
      <c r="T317" s="3"/>
      <c r="U317" s="33" t="s">
        <v>79</v>
      </c>
      <c r="V317" s="140"/>
      <c r="W317" s="140"/>
      <c r="X317" s="142">
        <f>(AG239+AM239)*1000</f>
        <v>2400</v>
      </c>
      <c r="Y317" s="141"/>
      <c r="Z317" s="141"/>
      <c r="AA317" s="140"/>
      <c r="AB317" s="140"/>
      <c r="AC317" s="140"/>
      <c r="AD317" s="140"/>
      <c r="AE317" s="33" t="s">
        <v>79</v>
      </c>
      <c r="AF317" s="126">
        <f>X317/(V318*Y318*AC318)</f>
        <v>8.695652173913043</v>
      </c>
      <c r="AG317" s="126"/>
      <c r="AH317" s="126"/>
      <c r="AI317" s="33" t="s">
        <v>71</v>
      </c>
      <c r="AJ317" s="33"/>
      <c r="AK317" s="3"/>
      <c r="AL317" s="3"/>
      <c r="AM317" s="3"/>
      <c r="AN317" s="3"/>
      <c r="AO317" s="3"/>
      <c r="AP317" s="3"/>
      <c r="AQ317" s="3"/>
      <c r="AR317" s="3"/>
      <c r="AS317" s="3"/>
      <c r="AU317" s="19">
        <v>3</v>
      </c>
      <c r="AV317" s="20"/>
      <c r="AW317" s="21"/>
      <c r="AX317" s="22">
        <f>IF(AU315=2,2.6,2.1)</f>
        <v>2.6</v>
      </c>
      <c r="AY317" s="22"/>
      <c r="AZ317" s="22"/>
      <c r="BA317" s="24">
        <f>AX317</f>
        <v>2.6</v>
      </c>
      <c r="BB317" s="24"/>
      <c r="BC317" s="24"/>
      <c r="BD317" s="24">
        <f>AX317</f>
        <v>2.6</v>
      </c>
      <c r="BE317" s="24"/>
      <c r="BF317" s="24"/>
      <c r="BG317" s="22">
        <f>BA317</f>
        <v>2.6</v>
      </c>
      <c r="BH317" s="22"/>
      <c r="BI317" s="22"/>
      <c r="BJ317" s="23">
        <f>IF(AU315=2,3.9,3.5)</f>
        <v>3.9</v>
      </c>
      <c r="BK317" s="23"/>
      <c r="BL317" s="23"/>
      <c r="BM317" s="23">
        <f>BJ317</f>
        <v>3.9</v>
      </c>
      <c r="BN317" s="23"/>
      <c r="BO317" s="23"/>
      <c r="BP317" s="23">
        <f>IF(AU315=2,4.6,IF(AU315=3,4,3.7))</f>
        <v>4.6</v>
      </c>
      <c r="BQ317" s="23"/>
      <c r="BR317" s="23"/>
      <c r="BS317" s="23">
        <f>BP317</f>
        <v>4.6</v>
      </c>
      <c r="BT317" s="23"/>
      <c r="BU317" s="23"/>
      <c r="BV317" s="23">
        <f>BP317</f>
        <v>4.6</v>
      </c>
      <c r="BW317" s="23"/>
      <c r="BX317" s="23"/>
      <c r="BY317" s="22">
        <f>BP317</f>
        <v>4.6</v>
      </c>
      <c r="BZ317" s="22"/>
      <c r="CA317" s="22"/>
      <c r="CB317" s="22">
        <f>IF(AU315=2,6.9,IF(AU315=3,6.2,6))</f>
        <v>6.9</v>
      </c>
      <c r="CC317" s="22"/>
      <c r="CD317" s="22"/>
      <c r="CE317" s="22">
        <f>CB317</f>
        <v>6.9</v>
      </c>
      <c r="CF317" s="22"/>
      <c r="CG317" s="22"/>
      <c r="CH317" s="22">
        <f>CB317</f>
        <v>6.9</v>
      </c>
      <c r="CI317" s="22"/>
      <c r="CJ317" s="22"/>
    </row>
    <row r="318" spans="1:88" ht="18" customHeight="1">
      <c r="A318" s="3"/>
      <c r="B318" s="3"/>
      <c r="C318" s="3"/>
      <c r="D318" s="3"/>
      <c r="E318" s="143">
        <f>HLOOKUP(S313,AX315:CJ318,AU316,FALSE)</f>
        <v>22</v>
      </c>
      <c r="F318" s="144"/>
      <c r="G318" s="3" t="s">
        <v>92</v>
      </c>
      <c r="H318" s="3"/>
      <c r="I318" s="3"/>
      <c r="J318" s="33"/>
      <c r="K318" s="33"/>
      <c r="L318" s="33"/>
      <c r="M318" s="33"/>
      <c r="N318" s="33"/>
      <c r="O318" s="33"/>
      <c r="P318" s="143">
        <f>HLOOKUP(S313,AX315:CJ318,AU318,FALSE)</f>
        <v>46</v>
      </c>
      <c r="Q318" s="144"/>
      <c r="R318" s="3" t="s">
        <v>92</v>
      </c>
      <c r="S318" s="3"/>
      <c r="T318" s="3"/>
      <c r="U318" s="33"/>
      <c r="V318" s="143">
        <f>P318</f>
        <v>46</v>
      </c>
      <c r="W318" s="144"/>
      <c r="X318" s="3" t="s">
        <v>83</v>
      </c>
      <c r="Y318" s="144">
        <f>AF304</f>
        <v>1</v>
      </c>
      <c r="Z318" s="144"/>
      <c r="AA318" s="144"/>
      <c r="AB318" s="3" t="s">
        <v>83</v>
      </c>
      <c r="AC318" s="143">
        <f>C264+1</f>
        <v>6</v>
      </c>
      <c r="AD318" s="144"/>
      <c r="AE318" s="33"/>
      <c r="AF318" s="126"/>
      <c r="AG318" s="126"/>
      <c r="AH318" s="126"/>
      <c r="AI318" s="33"/>
      <c r="AJ318" s="33"/>
      <c r="AK318" s="3"/>
      <c r="AL318" s="3"/>
      <c r="AM318" s="3"/>
      <c r="AN318" s="3"/>
      <c r="AO318" s="3"/>
      <c r="AP318" s="3"/>
      <c r="AQ318" s="3"/>
      <c r="AR318" s="3"/>
      <c r="AS318" s="3"/>
      <c r="AU318" s="19">
        <v>4</v>
      </c>
      <c r="AV318" s="20"/>
      <c r="AW318" s="21"/>
      <c r="AX318" s="16">
        <f>IF(AU315=2,56,58)</f>
        <v>56</v>
      </c>
      <c r="AY318" s="16"/>
      <c r="AZ318" s="16"/>
      <c r="BA318" s="18">
        <f>AX318</f>
        <v>56</v>
      </c>
      <c r="BB318" s="18"/>
      <c r="BC318" s="18"/>
      <c r="BD318" s="18">
        <f>AX318</f>
        <v>56</v>
      </c>
      <c r="BE318" s="18"/>
      <c r="BF318" s="18"/>
      <c r="BG318" s="16">
        <f>BA318</f>
        <v>56</v>
      </c>
      <c r="BH318" s="16"/>
      <c r="BI318" s="16"/>
      <c r="BJ318" s="17">
        <f>IF(AU315=2,48,50)</f>
        <v>48</v>
      </c>
      <c r="BK318" s="17"/>
      <c r="BL318" s="17"/>
      <c r="BM318" s="17">
        <f>BJ318</f>
        <v>48</v>
      </c>
      <c r="BN318" s="17"/>
      <c r="BO318" s="17"/>
      <c r="BP318" s="17">
        <f>IF(AU315=2,46,IF(AU315=3,46,48))</f>
        <v>46</v>
      </c>
      <c r="BQ318" s="17"/>
      <c r="BR318" s="17"/>
      <c r="BS318" s="17">
        <f>BP318</f>
        <v>46</v>
      </c>
      <c r="BT318" s="17"/>
      <c r="BU318" s="17"/>
      <c r="BV318" s="17">
        <f>BP318</f>
        <v>46</v>
      </c>
      <c r="BW318" s="17"/>
      <c r="BX318" s="17"/>
      <c r="BY318" s="16">
        <f>BP318</f>
        <v>46</v>
      </c>
      <c r="BZ318" s="16"/>
      <c r="CA318" s="16"/>
      <c r="CB318" s="16">
        <f>IF(AU315=2,40,IF(AU315=3,42,42))</f>
        <v>40</v>
      </c>
      <c r="CC318" s="16"/>
      <c r="CD318" s="16"/>
      <c r="CE318" s="16">
        <f>CB318</f>
        <v>40</v>
      </c>
      <c r="CF318" s="16"/>
      <c r="CG318" s="16"/>
      <c r="CH318" s="16">
        <f>CB318</f>
        <v>40</v>
      </c>
      <c r="CI318" s="16"/>
      <c r="CJ318" s="16"/>
    </row>
    <row r="319" spans="1:58" ht="18" customHeight="1">
      <c r="A319" s="3"/>
      <c r="B319" s="3"/>
      <c r="C319" s="3"/>
      <c r="D319" s="3"/>
      <c r="E319" s="3"/>
      <c r="F319" s="3"/>
      <c r="G319" s="3" t="s">
        <v>25</v>
      </c>
      <c r="H319" s="3"/>
      <c r="I319" s="3"/>
      <c r="J319" s="3"/>
      <c r="K319" s="3"/>
      <c r="L319" s="3"/>
      <c r="M319" s="3"/>
      <c r="N319" s="3"/>
      <c r="O319" s="127">
        <f>O316</f>
        <v>210</v>
      </c>
      <c r="P319" s="33"/>
      <c r="Q319" s="33"/>
      <c r="R319" s="3" t="s">
        <v>72</v>
      </c>
      <c r="S319" s="127">
        <f>HLOOKUP(S313,AX315:CJ318,AU317,FALSE)</f>
        <v>4.6</v>
      </c>
      <c r="T319" s="33"/>
      <c r="U319" s="3" t="s">
        <v>85</v>
      </c>
      <c r="V319" s="3" t="s">
        <v>94</v>
      </c>
      <c r="W319" s="3"/>
      <c r="X319" s="3"/>
      <c r="Y319" s="3"/>
      <c r="Z319" s="3"/>
      <c r="AA319" s="3"/>
      <c r="AB319" s="145">
        <f>E318</f>
        <v>22</v>
      </c>
      <c r="AC319" s="1"/>
      <c r="AD319" s="3" t="s">
        <v>89</v>
      </c>
      <c r="AE319" s="3" t="s">
        <v>79</v>
      </c>
      <c r="AF319" s="65">
        <f>ROUND(O319-S319*(X317/(AG245*1000*AF304*(C264+1))-AB319),3)</f>
        <v>223.581</v>
      </c>
      <c r="AG319" s="65"/>
      <c r="AH319" s="65"/>
      <c r="AI319" s="65"/>
      <c r="AJ319" s="3" t="s">
        <v>101</v>
      </c>
      <c r="AK319" s="3"/>
      <c r="AL319" s="3"/>
      <c r="AM319" s="3"/>
      <c r="AN319" s="3"/>
      <c r="AO319" s="3"/>
      <c r="AP319" s="3"/>
      <c r="AQ319" s="3"/>
      <c r="AR319" s="3"/>
      <c r="AS319" s="3"/>
      <c r="BA319" s="3"/>
      <c r="BB319" s="3"/>
      <c r="BC319" s="3"/>
      <c r="BD319" s="3"/>
      <c r="BE319" s="3"/>
      <c r="BF319" s="3"/>
    </row>
    <row r="320" spans="1:45" ht="18" customHeight="1">
      <c r="A320" s="3"/>
      <c r="B320" s="3"/>
      <c r="C320" s="3"/>
      <c r="D320" s="3"/>
      <c r="E320" s="140"/>
      <c r="F320" s="141" t="s">
        <v>91</v>
      </c>
      <c r="G320" s="141"/>
      <c r="H320" s="140"/>
      <c r="I320" s="3"/>
      <c r="J320" s="33" t="s">
        <v>93</v>
      </c>
      <c r="K320" s="33" t="s">
        <v>167</v>
      </c>
      <c r="L320" s="33"/>
      <c r="M320" s="33"/>
      <c r="N320" s="33"/>
      <c r="O320" s="33"/>
      <c r="P320" s="140"/>
      <c r="Q320" s="141" t="s">
        <v>91</v>
      </c>
      <c r="R320" s="141"/>
      <c r="S320" s="140"/>
      <c r="T320" s="3"/>
      <c r="U320" s="33" t="s">
        <v>79</v>
      </c>
      <c r="V320" s="140"/>
      <c r="W320" s="140"/>
      <c r="X320" s="142">
        <f>(AG239+AM239)*1000</f>
        <v>2400</v>
      </c>
      <c r="Y320" s="141"/>
      <c r="Z320" s="141"/>
      <c r="AA320" s="140"/>
      <c r="AB320" s="140"/>
      <c r="AC320" s="140"/>
      <c r="AD320" s="140"/>
      <c r="AE320" s="33" t="s">
        <v>79</v>
      </c>
      <c r="AF320" s="126">
        <f>X320/(V321*Y321*AC321)</f>
        <v>5</v>
      </c>
      <c r="AG320" s="126"/>
      <c r="AH320" s="126"/>
      <c r="AI320" s="33" t="s">
        <v>71</v>
      </c>
      <c r="AJ320" s="33"/>
      <c r="AK320" s="3"/>
      <c r="AL320" s="3"/>
      <c r="AM320" s="3"/>
      <c r="AN320" s="3"/>
      <c r="AO320" s="3"/>
      <c r="AP320" s="3"/>
      <c r="AQ320" s="3"/>
      <c r="AR320" s="3"/>
      <c r="AS320" s="3"/>
    </row>
    <row r="321" spans="1:45" ht="18" customHeight="1">
      <c r="A321" s="3"/>
      <c r="B321" s="3"/>
      <c r="C321" s="3"/>
      <c r="D321" s="3"/>
      <c r="E321" s="143">
        <f>P318</f>
        <v>46</v>
      </c>
      <c r="F321" s="144"/>
      <c r="G321" s="3" t="s">
        <v>92</v>
      </c>
      <c r="H321" s="3"/>
      <c r="I321" s="3"/>
      <c r="J321" s="33"/>
      <c r="K321" s="33"/>
      <c r="L321" s="33"/>
      <c r="M321" s="33"/>
      <c r="N321" s="33"/>
      <c r="O321" s="33"/>
      <c r="P321" s="143">
        <v>80</v>
      </c>
      <c r="Q321" s="144"/>
      <c r="R321" s="3" t="s">
        <v>92</v>
      </c>
      <c r="S321" s="3"/>
      <c r="T321" s="3"/>
      <c r="U321" s="33"/>
      <c r="V321" s="143">
        <f>P321</f>
        <v>80</v>
      </c>
      <c r="W321" s="144"/>
      <c r="X321" s="3" t="s">
        <v>83</v>
      </c>
      <c r="Y321" s="144">
        <f>AF304</f>
        <v>1</v>
      </c>
      <c r="Z321" s="144"/>
      <c r="AA321" s="144"/>
      <c r="AB321" s="3" t="s">
        <v>83</v>
      </c>
      <c r="AC321" s="143">
        <f>C264+1</f>
        <v>6</v>
      </c>
      <c r="AD321" s="144"/>
      <c r="AE321" s="33"/>
      <c r="AF321" s="126"/>
      <c r="AG321" s="126"/>
      <c r="AH321" s="126"/>
      <c r="AI321" s="33"/>
      <c r="AJ321" s="33"/>
      <c r="AK321" s="3"/>
      <c r="AL321" s="3"/>
      <c r="AM321" s="3"/>
      <c r="AN321" s="3"/>
      <c r="AO321" s="3"/>
      <c r="AP321" s="3"/>
      <c r="AQ321" s="3"/>
      <c r="AR321" s="3"/>
      <c r="AS321" s="3"/>
    </row>
    <row r="322" spans="1:47" ht="18" customHeight="1">
      <c r="A322" s="3"/>
      <c r="B322" s="3"/>
      <c r="C322" s="3"/>
      <c r="D322" s="3"/>
      <c r="E322" s="3"/>
      <c r="F322" s="3"/>
      <c r="G322" s="3" t="s">
        <v>25</v>
      </c>
      <c r="H322" s="3"/>
      <c r="I322" s="3"/>
      <c r="J322" s="3"/>
      <c r="K322" s="3"/>
      <c r="L322" s="3"/>
      <c r="M322" s="3"/>
      <c r="N322" s="127">
        <f>210000</f>
        <v>210000</v>
      </c>
      <c r="O322" s="127"/>
      <c r="P322" s="127"/>
      <c r="Q322" s="127"/>
      <c r="R322" s="3" t="s">
        <v>83</v>
      </c>
      <c r="S322" s="3" t="s">
        <v>95</v>
      </c>
      <c r="T322" s="3"/>
      <c r="U322" s="3"/>
      <c r="V322" s="3"/>
      <c r="W322" s="3"/>
      <c r="X322" s="3"/>
      <c r="Y322" s="3"/>
      <c r="Z322" s="3" t="s">
        <v>79</v>
      </c>
      <c r="AA322" s="33">
        <f>N322*(AG245*1000*Y321*AC321/X320)^2</f>
        <v>578.8124999999999</v>
      </c>
      <c r="AB322" s="33"/>
      <c r="AC322" s="33"/>
      <c r="AD322" s="33"/>
      <c r="AE322" s="3"/>
      <c r="AF322" s="3" t="s">
        <v>101</v>
      </c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U322" s="61"/>
    </row>
    <row r="323" spans="1:45" ht="18" customHeight="1">
      <c r="A323" s="3"/>
      <c r="B323" s="3"/>
      <c r="C323" s="3"/>
      <c r="D323" s="3"/>
      <c r="E323" s="3" t="s">
        <v>26</v>
      </c>
      <c r="F323" s="3"/>
      <c r="G323" s="3"/>
      <c r="H323" s="3"/>
      <c r="I323" s="3"/>
      <c r="J323" s="126">
        <f>AG245*1000</f>
        <v>21</v>
      </c>
      <c r="K323" s="126"/>
      <c r="L323" s="126"/>
      <c r="M323" s="2" t="s">
        <v>145</v>
      </c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</row>
    <row r="324" spans="1:45" ht="18" customHeight="1">
      <c r="A324" s="3"/>
      <c r="B324" s="3"/>
      <c r="C324" s="3"/>
      <c r="D324" s="3"/>
      <c r="E324" s="3" t="s">
        <v>27</v>
      </c>
      <c r="F324" s="3"/>
      <c r="G324" s="3"/>
      <c r="H324" s="3"/>
      <c r="I324" s="3"/>
      <c r="J324" s="3"/>
      <c r="K324" s="3"/>
      <c r="L324" s="33">
        <f>IF(J323&gt;=AC314,O316,IF(J323&gt;=AF317,AF319,IF(J323&gt;=AF320,AA322,"확인 요망")))</f>
        <v>210</v>
      </c>
      <c r="M324" s="33"/>
      <c r="N324" s="33"/>
      <c r="O324" s="33"/>
      <c r="P324" s="3" t="s">
        <v>101</v>
      </c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</row>
    <row r="325" spans="1:45" ht="18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</row>
    <row r="326" spans="1:45" ht="18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</row>
    <row r="327" spans="1:46" ht="18" customHeight="1">
      <c r="A327" s="3"/>
      <c r="B327" s="3"/>
      <c r="C327" s="146" t="s">
        <v>42</v>
      </c>
      <c r="D327" s="147"/>
      <c r="E327" s="147"/>
      <c r="F327" s="147"/>
      <c r="G327" s="147"/>
      <c r="H327" s="146" t="s">
        <v>43</v>
      </c>
      <c r="I327" s="147"/>
      <c r="J327" s="147"/>
      <c r="K327" s="147"/>
      <c r="L327" s="147"/>
      <c r="M327" s="147"/>
      <c r="N327" s="147"/>
      <c r="O327" s="147"/>
      <c r="P327" s="147"/>
      <c r="Q327" s="147"/>
      <c r="R327" s="147"/>
      <c r="S327" s="147"/>
      <c r="T327" s="147"/>
      <c r="U327" s="147"/>
      <c r="V327" s="147"/>
      <c r="W327" s="147"/>
      <c r="X327" s="147"/>
      <c r="Y327" s="147"/>
      <c r="Z327" s="147"/>
      <c r="AA327" s="147"/>
      <c r="AB327" s="147" t="s">
        <v>96</v>
      </c>
      <c r="AC327" s="147"/>
      <c r="AD327" s="147"/>
      <c r="AE327" s="147"/>
      <c r="AF327" s="147"/>
      <c r="AG327" s="147"/>
      <c r="AH327" s="147"/>
      <c r="AI327" s="147"/>
      <c r="AJ327" s="146" t="s">
        <v>44</v>
      </c>
      <c r="AK327" s="147"/>
      <c r="AL327" s="147"/>
      <c r="AM327" s="147"/>
      <c r="AN327" s="147"/>
      <c r="AO327" s="147"/>
      <c r="AP327" s="147"/>
      <c r="AQ327" s="147"/>
      <c r="AR327" s="148"/>
      <c r="AS327" s="148"/>
      <c r="AT327" s="139"/>
    </row>
    <row r="328" spans="1:46" ht="18" customHeight="1">
      <c r="A328" s="3"/>
      <c r="B328" s="3"/>
      <c r="C328" s="147"/>
      <c r="D328" s="147"/>
      <c r="E328" s="147"/>
      <c r="F328" s="147"/>
      <c r="G328" s="147"/>
      <c r="H328" s="146" t="s">
        <v>169</v>
      </c>
      <c r="I328" s="147"/>
      <c r="J328" s="147"/>
      <c r="K328" s="147"/>
      <c r="L328" s="147"/>
      <c r="M328" s="147"/>
      <c r="N328" s="147"/>
      <c r="O328" s="147"/>
      <c r="P328" s="147"/>
      <c r="Q328" s="147"/>
      <c r="R328" s="146" t="s">
        <v>170</v>
      </c>
      <c r="S328" s="147"/>
      <c r="T328" s="147"/>
      <c r="U328" s="147"/>
      <c r="V328" s="147"/>
      <c r="W328" s="147"/>
      <c r="X328" s="147"/>
      <c r="Y328" s="147"/>
      <c r="Z328" s="147"/>
      <c r="AA328" s="147"/>
      <c r="AB328" s="147"/>
      <c r="AC328" s="147"/>
      <c r="AD328" s="147"/>
      <c r="AE328" s="147"/>
      <c r="AF328" s="147"/>
      <c r="AG328" s="147"/>
      <c r="AH328" s="147"/>
      <c r="AI328" s="147"/>
      <c r="AJ328" s="146" t="s">
        <v>45</v>
      </c>
      <c r="AK328" s="147"/>
      <c r="AL328" s="147"/>
      <c r="AM328" s="147"/>
      <c r="AN328" s="147"/>
      <c r="AO328" s="147"/>
      <c r="AP328" s="147"/>
      <c r="AQ328" s="147"/>
      <c r="AR328" s="148"/>
      <c r="AS328" s="148"/>
      <c r="AT328" s="139"/>
    </row>
    <row r="329" spans="1:46" ht="18" customHeight="1">
      <c r="A329" s="3"/>
      <c r="B329" s="3"/>
      <c r="C329" s="147"/>
      <c r="D329" s="147"/>
      <c r="E329" s="147"/>
      <c r="F329" s="147"/>
      <c r="G329" s="147"/>
      <c r="H329" s="149" t="s">
        <v>46</v>
      </c>
      <c r="I329" s="81"/>
      <c r="J329" s="81"/>
      <c r="K329" s="81"/>
      <c r="L329" s="86"/>
      <c r="M329" s="149" t="s">
        <v>47</v>
      </c>
      <c r="N329" s="81"/>
      <c r="O329" s="81"/>
      <c r="P329" s="81"/>
      <c r="Q329" s="86"/>
      <c r="R329" s="149" t="s">
        <v>46</v>
      </c>
      <c r="S329" s="81"/>
      <c r="T329" s="81"/>
      <c r="U329" s="81"/>
      <c r="V329" s="86"/>
      <c r="W329" s="149" t="s">
        <v>47</v>
      </c>
      <c r="X329" s="81"/>
      <c r="Y329" s="81"/>
      <c r="Z329" s="81"/>
      <c r="AA329" s="86"/>
      <c r="AB329" s="146" t="s">
        <v>46</v>
      </c>
      <c r="AC329" s="147"/>
      <c r="AD329" s="147"/>
      <c r="AE329" s="147"/>
      <c r="AF329" s="146" t="s">
        <v>47</v>
      </c>
      <c r="AG329" s="147"/>
      <c r="AH329" s="147"/>
      <c r="AI329" s="147"/>
      <c r="AJ329" s="146" t="s">
        <v>46</v>
      </c>
      <c r="AK329" s="147"/>
      <c r="AL329" s="147"/>
      <c r="AM329" s="147"/>
      <c r="AN329" s="146" t="s">
        <v>47</v>
      </c>
      <c r="AO329" s="147"/>
      <c r="AP329" s="147"/>
      <c r="AQ329" s="147"/>
      <c r="AR329" s="148"/>
      <c r="AS329" s="148"/>
      <c r="AT329" s="139"/>
    </row>
    <row r="330" spans="1:47" ht="18" customHeight="1">
      <c r="A330" s="3"/>
      <c r="B330" s="3"/>
      <c r="C330" s="150">
        <v>1</v>
      </c>
      <c r="D330" s="150"/>
      <c r="E330" s="150"/>
      <c r="F330" s="150"/>
      <c r="G330" s="150"/>
      <c r="H330" s="147">
        <f>M290</f>
        <v>-27.507528300269577</v>
      </c>
      <c r="I330" s="147"/>
      <c r="J330" s="147"/>
      <c r="K330" s="147"/>
      <c r="L330" s="147"/>
      <c r="M330" s="147">
        <f>M291</f>
        <v>31.684264007578538</v>
      </c>
      <c r="N330" s="147"/>
      <c r="O330" s="147"/>
      <c r="P330" s="147"/>
      <c r="Q330" s="147"/>
      <c r="R330" s="147">
        <f>IF(H330&gt;=0,H312,L324)</f>
        <v>210</v>
      </c>
      <c r="S330" s="147"/>
      <c r="T330" s="147"/>
      <c r="U330" s="147"/>
      <c r="V330" s="147"/>
      <c r="W330" s="147">
        <f>IF(M330&gt;=0,H312,L324)</f>
        <v>210</v>
      </c>
      <c r="X330" s="147"/>
      <c r="Y330" s="147"/>
      <c r="Z330" s="147"/>
      <c r="AA330" s="147"/>
      <c r="AB330" s="147">
        <f>(H330/R330)^2</f>
        <v>0.0171579163988692</v>
      </c>
      <c r="AC330" s="147"/>
      <c r="AD330" s="147"/>
      <c r="AE330" s="147"/>
      <c r="AF330" s="147">
        <f>(M330/W330)^2</f>
        <v>0.02276400421092827</v>
      </c>
      <c r="AG330" s="147"/>
      <c r="AH330" s="147"/>
      <c r="AI330" s="147"/>
      <c r="AJ330" s="147">
        <f>(H330/R330)^2+(Z300/AJ300)^2</f>
        <v>0.023832005575391998</v>
      </c>
      <c r="AK330" s="147"/>
      <c r="AL330" s="147"/>
      <c r="AM330" s="147"/>
      <c r="AN330" s="147">
        <f>(M330/W330)^2+(Z300/AJ300)^2</f>
        <v>0.029438093387451066</v>
      </c>
      <c r="AO330" s="147"/>
      <c r="AP330" s="147"/>
      <c r="AQ330" s="147"/>
      <c r="AR330" s="148"/>
      <c r="AS330" s="148"/>
      <c r="AT330" s="139"/>
      <c r="AU330" s="151"/>
    </row>
    <row r="331" spans="1:46" ht="18" customHeight="1">
      <c r="A331" s="3"/>
      <c r="B331" s="3"/>
      <c r="C331" s="150" t="s">
        <v>61</v>
      </c>
      <c r="D331" s="150"/>
      <c r="E331" s="150"/>
      <c r="F331" s="150"/>
      <c r="G331" s="150"/>
      <c r="H331" s="147">
        <f>M290+N295</f>
        <v>-47.40121649463065</v>
      </c>
      <c r="I331" s="147"/>
      <c r="J331" s="147"/>
      <c r="K331" s="147"/>
      <c r="L331" s="147"/>
      <c r="M331" s="147">
        <f>M291+N296</f>
        <v>54.59860447299969</v>
      </c>
      <c r="N331" s="147"/>
      <c r="O331" s="147"/>
      <c r="P331" s="147"/>
      <c r="Q331" s="147"/>
      <c r="R331" s="147">
        <f>R330</f>
        <v>210</v>
      </c>
      <c r="S331" s="147"/>
      <c r="T331" s="147"/>
      <c r="U331" s="147"/>
      <c r="V331" s="147"/>
      <c r="W331" s="147">
        <f>W330</f>
        <v>210</v>
      </c>
      <c r="X331" s="147"/>
      <c r="Y331" s="147"/>
      <c r="Z331" s="147"/>
      <c r="AA331" s="147"/>
      <c r="AB331" s="147">
        <f>(H331/R331)^2</f>
        <v>0.05094955385874933</v>
      </c>
      <c r="AC331" s="147"/>
      <c r="AD331" s="147"/>
      <c r="AE331" s="147"/>
      <c r="AF331" s="147">
        <f>(M331/W331)^2</f>
        <v>0.06759654445349346</v>
      </c>
      <c r="AG331" s="147"/>
      <c r="AH331" s="147"/>
      <c r="AI331" s="147"/>
      <c r="AJ331" s="147">
        <f>(H331/R331)^2+(Z300/AJ300)^2</f>
        <v>0.05762364303527213</v>
      </c>
      <c r="AK331" s="147"/>
      <c r="AL331" s="147"/>
      <c r="AM331" s="147"/>
      <c r="AN331" s="147">
        <f>(M331/W331)^2+(Z300/AJ300)^2</f>
        <v>0.07427063363001626</v>
      </c>
      <c r="AO331" s="147"/>
      <c r="AP331" s="147"/>
      <c r="AQ331" s="147"/>
      <c r="AR331" s="148"/>
      <c r="AS331" s="148"/>
      <c r="AT331" s="139"/>
    </row>
    <row r="332" spans="1:45" ht="18" customHeight="1">
      <c r="A332" s="3"/>
      <c r="B332" s="3"/>
      <c r="C332" s="3" t="s">
        <v>48</v>
      </c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134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</row>
    <row r="333" spans="1:45" ht="18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</row>
    <row r="334" spans="1:45" ht="18" customHeight="1">
      <c r="A334" s="3"/>
      <c r="B334" s="3" t="s">
        <v>62</v>
      </c>
      <c r="C334" s="3"/>
      <c r="D334" s="3"/>
      <c r="E334" s="3"/>
      <c r="F334" s="3"/>
      <c r="G334" s="3"/>
      <c r="H334" s="3"/>
      <c r="I334" s="3"/>
      <c r="J334" s="3"/>
      <c r="K334" s="134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</row>
    <row r="335" spans="1:45" ht="18" customHeight="1">
      <c r="A335" s="3"/>
      <c r="B335" s="3"/>
      <c r="C335" s="3"/>
      <c r="D335" s="3"/>
      <c r="E335" s="3" t="s">
        <v>49</v>
      </c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</row>
    <row r="336" spans="1:45" ht="18" customHeight="1">
      <c r="A336" s="3"/>
      <c r="B336" s="3"/>
      <c r="C336" s="3"/>
      <c r="D336" s="3"/>
      <c r="E336" s="3"/>
      <c r="F336" s="152" t="s">
        <v>85</v>
      </c>
      <c r="G336" s="141" t="s">
        <v>97</v>
      </c>
      <c r="H336" s="141"/>
      <c r="I336" s="153">
        <v>0</v>
      </c>
      <c r="J336" s="33"/>
      <c r="K336" s="33"/>
      <c r="L336" s="33"/>
      <c r="M336" s="141" t="s">
        <v>98</v>
      </c>
      <c r="N336" s="141"/>
      <c r="O336" s="154">
        <v>0</v>
      </c>
      <c r="P336" s="33"/>
      <c r="Q336" s="33" t="s">
        <v>79</v>
      </c>
      <c r="R336" s="152" t="s">
        <v>85</v>
      </c>
      <c r="S336" s="141">
        <f>IF(AB330=R338,H330,IF(AB331=R338,H331,"ERROR"))</f>
        <v>-47.40121649463065</v>
      </c>
      <c r="T336" s="141"/>
      <c r="U336" s="141"/>
      <c r="V336" s="141"/>
      <c r="W336" s="141"/>
      <c r="X336" s="154">
        <v>0</v>
      </c>
      <c r="Y336" s="33"/>
      <c r="Z336" s="33" t="s">
        <v>78</v>
      </c>
      <c r="AA336" s="152" t="s">
        <v>85</v>
      </c>
      <c r="AB336" s="141">
        <f>Z300</f>
        <v>9.80341186230224</v>
      </c>
      <c r="AC336" s="141"/>
      <c r="AD336" s="141"/>
      <c r="AE336" s="141"/>
      <c r="AF336" s="141"/>
      <c r="AG336" s="154">
        <v>0</v>
      </c>
      <c r="AH336" s="3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</row>
    <row r="337" spans="1:45" ht="18" customHeight="1">
      <c r="A337" s="3"/>
      <c r="B337" s="3"/>
      <c r="C337" s="3"/>
      <c r="D337" s="3"/>
      <c r="E337" s="3"/>
      <c r="F337" s="33"/>
      <c r="G337" s="144" t="s">
        <v>99</v>
      </c>
      <c r="H337" s="144"/>
      <c r="I337" s="33"/>
      <c r="J337" s="33"/>
      <c r="K337" s="33"/>
      <c r="L337" s="33"/>
      <c r="M337" s="144" t="s">
        <v>100</v>
      </c>
      <c r="N337" s="144"/>
      <c r="O337" s="33"/>
      <c r="P337" s="33"/>
      <c r="Q337" s="33"/>
      <c r="R337" s="33"/>
      <c r="S337" s="144">
        <f>IF(AB330=R338,R330,IF(AB331=R338,R331,"ERROR"))</f>
        <v>210</v>
      </c>
      <c r="T337" s="144"/>
      <c r="U337" s="144"/>
      <c r="V337" s="144"/>
      <c r="W337" s="144"/>
      <c r="X337" s="33"/>
      <c r="Y337" s="33"/>
      <c r="Z337" s="33"/>
      <c r="AA337" s="33"/>
      <c r="AB337" s="144">
        <f>AJ300</f>
        <v>120</v>
      </c>
      <c r="AC337" s="144"/>
      <c r="AD337" s="144"/>
      <c r="AE337" s="144"/>
      <c r="AF337" s="144"/>
      <c r="AG337" s="33"/>
      <c r="AH337" s="3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</row>
    <row r="338" spans="1:45" ht="18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 t="s">
        <v>79</v>
      </c>
      <c r="R338" s="33">
        <f>MAX(AB330:AB331)</f>
        <v>0.05094955385874933</v>
      </c>
      <c r="S338" s="33"/>
      <c r="T338" s="33"/>
      <c r="U338" s="33"/>
      <c r="V338" s="3" t="s">
        <v>78</v>
      </c>
      <c r="W338" s="33">
        <f>(Z300/AJ300)^2</f>
        <v>0.006674089176522798</v>
      </c>
      <c r="X338" s="33"/>
      <c r="Y338" s="33"/>
      <c r="Z338" s="33"/>
      <c r="AA338" s="3" t="s">
        <v>79</v>
      </c>
      <c r="AB338" s="33">
        <f>R338+W338</f>
        <v>0.05762364303527213</v>
      </c>
      <c r="AC338" s="33"/>
      <c r="AD338" s="33"/>
      <c r="AE338" s="33"/>
      <c r="AF338" s="3"/>
      <c r="AG338" s="3" t="str">
        <f>IF(AB338&gt;AI338,"＞","＜")</f>
        <v>＜</v>
      </c>
      <c r="AH338" s="3"/>
      <c r="AI338" s="126">
        <v>1.2</v>
      </c>
      <c r="AJ338" s="33"/>
      <c r="AK338" s="33"/>
      <c r="AL338" s="3"/>
      <c r="AM338" s="3" t="str">
        <f>IF(AB338&lt;AI338,"O.K.","N.G.")</f>
        <v>O.K.</v>
      </c>
      <c r="AN338" s="3"/>
      <c r="AO338" s="3"/>
      <c r="AP338" s="3"/>
      <c r="AQ338" s="3"/>
      <c r="AR338" s="3"/>
      <c r="AS338" s="3"/>
    </row>
    <row r="339" spans="1:45" ht="18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</row>
    <row r="340" spans="1:45" ht="18" customHeight="1">
      <c r="A340" s="3"/>
      <c r="B340" s="3"/>
      <c r="C340" s="3"/>
      <c r="D340" s="3"/>
      <c r="E340" s="3" t="s">
        <v>50</v>
      </c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</row>
    <row r="341" spans="1:45" ht="18" customHeight="1">
      <c r="A341" s="3"/>
      <c r="B341" s="3"/>
      <c r="C341" s="3"/>
      <c r="D341" s="3"/>
      <c r="E341" s="3"/>
      <c r="F341" s="152" t="s">
        <v>85</v>
      </c>
      <c r="G341" s="141" t="s">
        <v>97</v>
      </c>
      <c r="H341" s="141"/>
      <c r="I341" s="153">
        <v>0</v>
      </c>
      <c r="J341" s="33"/>
      <c r="K341" s="33"/>
      <c r="L341" s="33"/>
      <c r="M341" s="141" t="s">
        <v>98</v>
      </c>
      <c r="N341" s="141"/>
      <c r="O341" s="154">
        <v>0</v>
      </c>
      <c r="P341" s="33"/>
      <c r="Q341" s="33" t="s">
        <v>79</v>
      </c>
      <c r="R341" s="152" t="s">
        <v>85</v>
      </c>
      <c r="S341" s="141">
        <f>IF(AF330=R343,M330,IF(AF331=R343,M331,"ERROR"))</f>
        <v>54.59860447299969</v>
      </c>
      <c r="T341" s="141"/>
      <c r="U341" s="141"/>
      <c r="V341" s="141"/>
      <c r="W341" s="141"/>
      <c r="X341" s="154">
        <v>0</v>
      </c>
      <c r="Y341" s="33"/>
      <c r="Z341" s="33" t="s">
        <v>78</v>
      </c>
      <c r="AA341" s="152" t="s">
        <v>85</v>
      </c>
      <c r="AB341" s="141">
        <f>Z300</f>
        <v>9.80341186230224</v>
      </c>
      <c r="AC341" s="141"/>
      <c r="AD341" s="141"/>
      <c r="AE341" s="141"/>
      <c r="AF341" s="141"/>
      <c r="AG341" s="154">
        <v>0</v>
      </c>
      <c r="AH341" s="3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</row>
    <row r="342" spans="1:45" ht="18" customHeight="1">
      <c r="A342" s="3"/>
      <c r="B342" s="3"/>
      <c r="C342" s="3"/>
      <c r="D342" s="3"/>
      <c r="E342" s="3"/>
      <c r="F342" s="33"/>
      <c r="G342" s="144" t="s">
        <v>99</v>
      </c>
      <c r="H342" s="144"/>
      <c r="I342" s="33"/>
      <c r="J342" s="33"/>
      <c r="K342" s="33"/>
      <c r="L342" s="33"/>
      <c r="M342" s="144" t="s">
        <v>100</v>
      </c>
      <c r="N342" s="144"/>
      <c r="O342" s="33"/>
      <c r="P342" s="33"/>
      <c r="Q342" s="33"/>
      <c r="R342" s="33"/>
      <c r="S342" s="144">
        <f>IF(AF330=R343,W330,IF(AF331=R343,W331,"ERROR"))</f>
        <v>210</v>
      </c>
      <c r="T342" s="144"/>
      <c r="U342" s="144"/>
      <c r="V342" s="144"/>
      <c r="W342" s="144"/>
      <c r="X342" s="33"/>
      <c r="Y342" s="33"/>
      <c r="Z342" s="33"/>
      <c r="AA342" s="33"/>
      <c r="AB342" s="144">
        <f>AJ300</f>
        <v>120</v>
      </c>
      <c r="AC342" s="144"/>
      <c r="AD342" s="144"/>
      <c r="AE342" s="144"/>
      <c r="AF342" s="144"/>
      <c r="AG342" s="33"/>
      <c r="AH342" s="3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</row>
    <row r="343" spans="1:45" ht="18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 t="s">
        <v>79</v>
      </c>
      <c r="R343" s="33">
        <f>MAX(AF330:AF331)</f>
        <v>0.06759654445349346</v>
      </c>
      <c r="S343" s="33"/>
      <c r="T343" s="33"/>
      <c r="U343" s="33"/>
      <c r="V343" s="3" t="s">
        <v>78</v>
      </c>
      <c r="W343" s="33">
        <f>(Z300/AJ300)^2</f>
        <v>0.006674089176522798</v>
      </c>
      <c r="X343" s="33"/>
      <c r="Y343" s="33"/>
      <c r="Z343" s="33"/>
      <c r="AA343" s="3" t="s">
        <v>79</v>
      </c>
      <c r="AB343" s="33">
        <f>R343+W343</f>
        <v>0.07427063363001626</v>
      </c>
      <c r="AC343" s="33"/>
      <c r="AD343" s="33"/>
      <c r="AE343" s="33"/>
      <c r="AF343" s="3"/>
      <c r="AG343" s="3" t="str">
        <f>IF(AB343&gt;AI343,"＞","＜")</f>
        <v>＜</v>
      </c>
      <c r="AH343" s="3"/>
      <c r="AI343" s="126">
        <v>1.2</v>
      </c>
      <c r="AJ343" s="33"/>
      <c r="AK343" s="33"/>
      <c r="AL343" s="3"/>
      <c r="AM343" s="3" t="str">
        <f>IF(AB343&lt;AI343,"O.K.","N.G.")</f>
        <v>O.K.</v>
      </c>
      <c r="AN343" s="3"/>
      <c r="AO343" s="3"/>
      <c r="AP343" s="3"/>
      <c r="AQ343" s="3"/>
      <c r="AR343" s="3"/>
      <c r="AS343" s="3"/>
    </row>
    <row r="344" ht="18" customHeight="1">
      <c r="AU344" s="151"/>
    </row>
    <row r="345" spans="21:31" ht="18" customHeight="1"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</row>
    <row r="352" spans="1:25" ht="18" customHeight="1">
      <c r="A352" s="54" t="s">
        <v>153</v>
      </c>
      <c r="G352" s="55">
        <v>4</v>
      </c>
      <c r="H352" s="55"/>
      <c r="I352" s="53" t="s">
        <v>63</v>
      </c>
      <c r="K352" s="53" t="s">
        <v>109</v>
      </c>
      <c r="M352" s="55">
        <v>25</v>
      </c>
      <c r="N352" s="55"/>
      <c r="O352" s="53" t="s">
        <v>64</v>
      </c>
      <c r="V352" s="56">
        <v>2.515</v>
      </c>
      <c r="W352" s="56"/>
      <c r="X352" s="56"/>
      <c r="Y352" s="53" t="s">
        <v>65</v>
      </c>
    </row>
    <row r="353" spans="1:70" ht="18" customHeight="1">
      <c r="A353" s="57" t="s">
        <v>110</v>
      </c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 t="s">
        <v>111</v>
      </c>
      <c r="AA353" s="3"/>
      <c r="AB353" s="3"/>
      <c r="AC353" s="3"/>
      <c r="AD353" s="3"/>
      <c r="AE353" s="3"/>
      <c r="AF353" s="3"/>
      <c r="AG353" s="58" t="s">
        <v>11</v>
      </c>
      <c r="AH353" s="59"/>
      <c r="AI353" s="59"/>
      <c r="AJ353" s="59"/>
      <c r="AK353" s="60" t="s">
        <v>171</v>
      </c>
      <c r="AL353" s="3"/>
      <c r="AM353" s="3"/>
      <c r="AN353" s="3"/>
      <c r="AO353" s="3"/>
      <c r="AP353" s="3"/>
      <c r="AQ353" s="3"/>
      <c r="AU353" s="61"/>
      <c r="AX353" s="62"/>
      <c r="AY353" s="62"/>
      <c r="AZ353" s="62"/>
      <c r="BA353" s="62"/>
      <c r="BB353" s="62"/>
      <c r="BC353" s="62"/>
      <c r="BD353" s="62"/>
      <c r="BM353" s="62"/>
      <c r="BN353" s="62"/>
      <c r="BO353" s="62"/>
      <c r="BP353" s="62"/>
      <c r="BQ353" s="62"/>
      <c r="BR353" s="62"/>
    </row>
    <row r="354" spans="1:70" ht="18" customHeight="1">
      <c r="A354" s="3"/>
      <c r="B354" s="3"/>
      <c r="C354" s="3"/>
      <c r="D354" s="3"/>
      <c r="E354" s="63"/>
      <c r="F354" s="63"/>
      <c r="G354" s="63"/>
      <c r="H354" s="63"/>
      <c r="I354" s="63"/>
      <c r="J354" s="63"/>
      <c r="K354" s="63"/>
      <c r="M354" s="62"/>
      <c r="N354" s="62"/>
      <c r="O354" s="62"/>
      <c r="P354" s="62"/>
      <c r="Q354" s="62"/>
      <c r="R354" s="62"/>
      <c r="S354" s="62"/>
      <c r="T354" s="63"/>
      <c r="U354" s="63"/>
      <c r="V354" s="63"/>
      <c r="W354" s="63"/>
      <c r="X354" s="63"/>
      <c r="Y354" s="63"/>
      <c r="Z354" s="3"/>
      <c r="AA354" s="3"/>
      <c r="AB354" s="3"/>
      <c r="AC354" s="3"/>
      <c r="AD354" s="3"/>
      <c r="AX354" s="62"/>
      <c r="AY354" s="62"/>
      <c r="AZ354" s="62"/>
      <c r="BA354" s="62"/>
      <c r="BB354" s="62"/>
      <c r="BC354" s="62"/>
      <c r="BD354" s="62"/>
      <c r="BM354" s="62"/>
      <c r="BN354" s="62"/>
      <c r="BO354" s="62"/>
      <c r="BP354" s="62"/>
      <c r="BQ354" s="62"/>
      <c r="BR354" s="62"/>
    </row>
    <row r="355" spans="1:50" ht="18" customHeight="1">
      <c r="A355" s="3"/>
      <c r="B355" s="3"/>
      <c r="C355" s="3"/>
      <c r="D355" s="3"/>
      <c r="E355" s="63"/>
      <c r="F355" s="63"/>
      <c r="G355" s="63"/>
      <c r="L355" s="62"/>
      <c r="M355" s="62"/>
      <c r="N355" s="62"/>
      <c r="O355" s="62"/>
      <c r="P355" s="62"/>
      <c r="Q355" s="62"/>
      <c r="R355" s="62"/>
      <c r="S355" s="62"/>
      <c r="W355" s="62"/>
      <c r="X355" s="63"/>
      <c r="Y355" s="63"/>
      <c r="Z355" s="3"/>
      <c r="AA355" s="3"/>
      <c r="AB355" s="3"/>
      <c r="AC355" s="3"/>
      <c r="AD355" s="3"/>
      <c r="AE355" s="57" t="s">
        <v>66</v>
      </c>
      <c r="AF355" s="3"/>
      <c r="AG355" s="58">
        <v>2.6</v>
      </c>
      <c r="AH355" s="58"/>
      <c r="AI355" s="58"/>
      <c r="AJ355" s="3" t="s">
        <v>65</v>
      </c>
      <c r="AK355" s="3"/>
      <c r="AL355" s="3"/>
      <c r="AM355" s="3"/>
      <c r="AN355" s="3"/>
      <c r="AO355" s="3"/>
      <c r="AP355" s="3"/>
      <c r="AQ355" s="3"/>
      <c r="AX355" s="62"/>
    </row>
    <row r="356" spans="1:43" ht="18" customHeight="1">
      <c r="A356" s="3"/>
      <c r="B356" s="3"/>
      <c r="C356" s="3"/>
      <c r="D356" s="3"/>
      <c r="E356" s="3"/>
      <c r="F356" s="3"/>
      <c r="G356" s="3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2"/>
      <c r="W356" s="3"/>
      <c r="X356" s="3"/>
      <c r="Y356" s="3"/>
      <c r="Z356" s="3"/>
      <c r="AA356" s="3"/>
      <c r="AB356" s="3"/>
      <c r="AC356" s="3"/>
      <c r="AD356" s="3"/>
      <c r="AE356" s="3" t="s">
        <v>112</v>
      </c>
      <c r="AF356" s="3"/>
      <c r="AG356" s="58">
        <v>1.2</v>
      </c>
      <c r="AH356" s="58"/>
      <c r="AI356" s="58"/>
      <c r="AJ356" s="3" t="s">
        <v>113</v>
      </c>
      <c r="AK356" s="3" t="s">
        <v>114</v>
      </c>
      <c r="AL356" s="3"/>
      <c r="AM356" s="58">
        <v>1.2</v>
      </c>
      <c r="AN356" s="58"/>
      <c r="AO356" s="58"/>
      <c r="AP356" s="3" t="s">
        <v>115</v>
      </c>
      <c r="AQ356" s="3"/>
    </row>
    <row r="357" spans="1:36" ht="18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C357" s="3"/>
      <c r="AD357" s="3"/>
      <c r="AE357" s="3" t="s">
        <v>116</v>
      </c>
      <c r="AF357" s="3"/>
      <c r="AG357" s="58">
        <v>2.1</v>
      </c>
      <c r="AH357" s="58"/>
      <c r="AI357" s="58"/>
      <c r="AJ357" s="3" t="s">
        <v>115</v>
      </c>
    </row>
    <row r="358" spans="1:43" ht="18" customHeight="1">
      <c r="A358" s="3"/>
      <c r="B358" s="3"/>
      <c r="C358" s="3"/>
      <c r="D358" s="3"/>
      <c r="E358" s="3"/>
      <c r="F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64"/>
      <c r="AC358" s="3"/>
      <c r="AD358" s="3"/>
      <c r="AE358" s="57" t="s">
        <v>51</v>
      </c>
      <c r="AK358" s="3"/>
      <c r="AL358" s="3"/>
      <c r="AM358" s="3"/>
      <c r="AN358" s="3"/>
      <c r="AO358" s="3"/>
      <c r="AP358" s="3"/>
      <c r="AQ358" s="3"/>
    </row>
    <row r="359" spans="1:43" ht="18" customHeight="1">
      <c r="A359" s="3"/>
      <c r="B359" s="3"/>
      <c r="C359" s="3"/>
      <c r="D359" s="3"/>
      <c r="E359" s="3"/>
      <c r="F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C359" s="3"/>
      <c r="AD359" s="3"/>
      <c r="AE359" s="57" t="s">
        <v>117</v>
      </c>
      <c r="AF359" s="3"/>
      <c r="AG359" s="33">
        <f>AG356+AM356+AG365*2</f>
        <v>2.6399999999999997</v>
      </c>
      <c r="AH359" s="33"/>
      <c r="AI359" s="33"/>
      <c r="AJ359" s="3" t="s">
        <v>113</v>
      </c>
      <c r="AK359" s="57" t="s">
        <v>118</v>
      </c>
      <c r="AL359" s="3"/>
      <c r="AM359" s="33">
        <f>AG357+AG366*2</f>
        <v>2.34</v>
      </c>
      <c r="AN359" s="33"/>
      <c r="AO359" s="33"/>
      <c r="AP359" s="3" t="s">
        <v>115</v>
      </c>
      <c r="AQ359" s="3"/>
    </row>
    <row r="360" spans="1:53" ht="18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65" t="str">
        <f>C381&amp;" - "&amp;AG367&amp;" x "&amp;AJ367</f>
        <v>5 - 150 x 14</v>
      </c>
      <c r="N360" s="65"/>
      <c r="O360" s="65"/>
      <c r="P360" s="65"/>
      <c r="Q360" s="65"/>
      <c r="R360" s="65"/>
      <c r="S360" s="3"/>
      <c r="T360" s="3"/>
      <c r="U360" s="3"/>
      <c r="V360" s="3"/>
      <c r="W360" s="3"/>
      <c r="X360" s="3"/>
      <c r="Y360" s="3"/>
      <c r="Z360" s="3"/>
      <c r="AA360" s="3"/>
      <c r="AC360" s="3"/>
      <c r="AD360" s="3"/>
      <c r="AE360" s="57" t="s">
        <v>119</v>
      </c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U360" s="3"/>
      <c r="AV360" s="3"/>
      <c r="AW360" s="3"/>
      <c r="AX360" s="3"/>
      <c r="AY360" s="3"/>
      <c r="AZ360" s="3"/>
      <c r="BA360" s="3"/>
    </row>
    <row r="361" spans="1:81" ht="18" customHeight="1">
      <c r="A361" s="3"/>
      <c r="B361" s="3"/>
      <c r="C361" s="3"/>
      <c r="D361" s="3"/>
      <c r="E361" s="3"/>
      <c r="F361" s="3"/>
      <c r="G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C361" s="3"/>
      <c r="AD361" s="3"/>
      <c r="AE361" s="57" t="s">
        <v>120</v>
      </c>
      <c r="AF361" s="3"/>
      <c r="AG361" s="58">
        <v>2.64</v>
      </c>
      <c r="AH361" s="58"/>
      <c r="AI361" s="58"/>
      <c r="AJ361" s="3" t="s">
        <v>113</v>
      </c>
      <c r="AK361" s="57" t="s">
        <v>121</v>
      </c>
      <c r="AL361" s="3"/>
      <c r="AM361" s="58">
        <v>2.34</v>
      </c>
      <c r="AN361" s="58"/>
      <c r="AO361" s="58"/>
      <c r="AP361" s="3" t="s">
        <v>115</v>
      </c>
      <c r="AQ361" s="3"/>
      <c r="AU361" s="3"/>
      <c r="AV361" s="3"/>
      <c r="AW361" s="3"/>
      <c r="AX361" s="3"/>
      <c r="AY361" s="3"/>
      <c r="AZ361" s="3"/>
      <c r="BA361" s="3"/>
      <c r="CA361" s="66"/>
      <c r="CB361" s="66"/>
      <c r="CC361" s="66"/>
    </row>
    <row r="362" spans="1:81" ht="18" customHeight="1">
      <c r="A362" s="3"/>
      <c r="B362" s="3"/>
      <c r="C362" s="3"/>
      <c r="D362" s="67" t="s">
        <v>154</v>
      </c>
      <c r="E362" s="67"/>
      <c r="F362" s="68">
        <f>DEGREES(ATAN((AG356-AG357/2)/AG355))</f>
        <v>3.301865674435001</v>
      </c>
      <c r="G362" s="68"/>
      <c r="H362" s="68"/>
      <c r="I362" s="69" t="s">
        <v>122</v>
      </c>
      <c r="J362" s="3"/>
      <c r="K362" s="3"/>
      <c r="L362" s="3"/>
      <c r="M362" s="3"/>
      <c r="N362" s="65" t="str">
        <f>C384&amp;" - "&amp;AN367&amp;" x "&amp;AQ367</f>
        <v>5 - 150 x 14</v>
      </c>
      <c r="O362" s="65"/>
      <c r="P362" s="65"/>
      <c r="Q362" s="65"/>
      <c r="R362" s="65"/>
      <c r="S362" s="65"/>
      <c r="T362" s="3"/>
      <c r="U362" s="3"/>
      <c r="V362" s="67" t="s">
        <v>155</v>
      </c>
      <c r="W362" s="67"/>
      <c r="X362" s="68">
        <f>DEGREES(ATAN((AM356-AG357/2)/AG355))</f>
        <v>3.301865674435001</v>
      </c>
      <c r="Y362" s="68"/>
      <c r="Z362" s="68"/>
      <c r="AA362" s="69" t="s">
        <v>122</v>
      </c>
      <c r="AB362" s="3"/>
      <c r="AC362" s="3"/>
      <c r="AD362" s="3"/>
      <c r="AE362" s="57" t="s">
        <v>67</v>
      </c>
      <c r="AF362" s="3"/>
      <c r="AG362" s="58">
        <v>0.021</v>
      </c>
      <c r="AH362" s="58"/>
      <c r="AI362" s="58"/>
      <c r="AJ362" s="3" t="s">
        <v>65</v>
      </c>
      <c r="AK362" s="3"/>
      <c r="AL362" s="3"/>
      <c r="AM362" s="3"/>
      <c r="AN362" s="3"/>
      <c r="AO362" s="3"/>
      <c r="AP362" s="3"/>
      <c r="AQ362" s="3"/>
      <c r="AU362" s="3"/>
      <c r="AV362" s="3"/>
      <c r="AW362" s="67"/>
      <c r="AX362" s="67"/>
      <c r="AY362" s="3"/>
      <c r="AZ362" s="3"/>
      <c r="BA362" s="3"/>
      <c r="CA362" s="66"/>
      <c r="CB362" s="66"/>
      <c r="CC362" s="66"/>
    </row>
    <row r="363" spans="1:81" ht="18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57" t="s">
        <v>68</v>
      </c>
      <c r="AF363" s="3"/>
      <c r="AG363" s="58">
        <v>0.021</v>
      </c>
      <c r="AH363" s="58"/>
      <c r="AI363" s="58"/>
      <c r="AJ363" s="3" t="s">
        <v>65</v>
      </c>
      <c r="AK363" s="3"/>
      <c r="AL363" s="3"/>
      <c r="AM363" s="3"/>
      <c r="AN363" s="3"/>
      <c r="AO363" s="3"/>
      <c r="AP363" s="3"/>
      <c r="AQ363" s="3"/>
      <c r="AU363" s="3"/>
      <c r="AV363" s="3"/>
      <c r="AW363" s="3"/>
      <c r="AX363" s="3"/>
      <c r="AY363" s="3"/>
      <c r="AZ363" s="3"/>
      <c r="BA363" s="3"/>
      <c r="CA363" s="66"/>
      <c r="CB363" s="66"/>
      <c r="CC363" s="66"/>
    </row>
    <row r="364" spans="1:81" ht="18" customHeight="1">
      <c r="A364" s="3"/>
      <c r="B364" s="3"/>
      <c r="C364" s="3"/>
      <c r="D364" s="3"/>
      <c r="E364" s="3"/>
      <c r="F364" s="3"/>
      <c r="G364" s="3"/>
      <c r="H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57" t="s">
        <v>69</v>
      </c>
      <c r="AF364" s="3"/>
      <c r="AG364" s="58">
        <v>0.01</v>
      </c>
      <c r="AH364" s="58"/>
      <c r="AI364" s="58"/>
      <c r="AJ364" s="3" t="s">
        <v>65</v>
      </c>
      <c r="AK364" s="3"/>
      <c r="AL364" s="3"/>
      <c r="AM364" s="3"/>
      <c r="AN364" s="3"/>
      <c r="AO364" s="3"/>
      <c r="AP364" s="3"/>
      <c r="AQ364" s="3"/>
      <c r="AU364" s="3"/>
      <c r="AV364" s="3"/>
      <c r="AW364" s="3"/>
      <c r="AX364" s="3"/>
      <c r="AY364" s="3"/>
      <c r="AZ364" s="3"/>
      <c r="BA364" s="3"/>
      <c r="CA364" s="66"/>
      <c r="CB364" s="66"/>
      <c r="CC364" s="66"/>
    </row>
    <row r="365" spans="1:81" ht="18" customHeight="1">
      <c r="A365" s="3"/>
      <c r="B365" s="3"/>
      <c r="E365" s="62"/>
      <c r="F365" s="62"/>
      <c r="G365" s="62"/>
      <c r="H365" s="62"/>
      <c r="I365" s="62"/>
      <c r="J365" s="70"/>
      <c r="K365" s="62"/>
      <c r="L365" s="62"/>
      <c r="M365" s="62"/>
      <c r="N365" s="62"/>
      <c r="O365" s="62"/>
      <c r="P365" s="62"/>
      <c r="Q365" s="62"/>
      <c r="R365" s="62"/>
      <c r="S365" s="62"/>
      <c r="T365" s="71"/>
      <c r="U365" s="62"/>
      <c r="V365" s="62"/>
      <c r="AD365" s="3"/>
      <c r="AE365" s="53" t="s">
        <v>123</v>
      </c>
      <c r="AG365" s="56">
        <v>0.12</v>
      </c>
      <c r="AH365" s="56"/>
      <c r="AI365" s="56"/>
      <c r="AJ365" s="53" t="s">
        <v>65</v>
      </c>
      <c r="AK365" s="3"/>
      <c r="AL365" s="3"/>
      <c r="AM365" s="3"/>
      <c r="AN365" s="3"/>
      <c r="AO365" s="3"/>
      <c r="AP365" s="3"/>
      <c r="AQ365" s="3"/>
      <c r="AU365" s="3"/>
      <c r="AV365" s="3"/>
      <c r="AW365" s="3"/>
      <c r="AX365" s="63"/>
      <c r="AY365" s="3"/>
      <c r="AZ365" s="3"/>
      <c r="BA365" s="3"/>
      <c r="CA365" s="66"/>
      <c r="CB365" s="66"/>
      <c r="CC365" s="66"/>
    </row>
    <row r="366" spans="5:50" ht="18" customHeight="1">
      <c r="E366" s="62"/>
      <c r="F366" s="62"/>
      <c r="G366" s="62"/>
      <c r="H366" s="62"/>
      <c r="I366" s="62"/>
      <c r="J366" s="62"/>
      <c r="K366" s="62"/>
      <c r="N366" s="62"/>
      <c r="O366" s="62"/>
      <c r="P366" s="62"/>
      <c r="Q366" s="62"/>
      <c r="R366" s="62"/>
      <c r="S366" s="62"/>
      <c r="T366" s="62"/>
      <c r="U366" s="62"/>
      <c r="V366" s="62"/>
      <c r="AE366" s="53" t="s">
        <v>124</v>
      </c>
      <c r="AG366" s="56">
        <v>0.12</v>
      </c>
      <c r="AH366" s="56"/>
      <c r="AI366" s="56"/>
      <c r="AJ366" s="53" t="s">
        <v>65</v>
      </c>
      <c r="AX366" s="62"/>
    </row>
    <row r="367" spans="31:45" ht="18" customHeight="1">
      <c r="AE367" s="53" t="s">
        <v>70</v>
      </c>
      <c r="AG367" s="55">
        <v>150</v>
      </c>
      <c r="AH367" s="55"/>
      <c r="AI367" s="72" t="s">
        <v>125</v>
      </c>
      <c r="AJ367" s="55">
        <v>14</v>
      </c>
      <c r="AK367" s="55"/>
      <c r="AL367" s="53" t="s">
        <v>71</v>
      </c>
      <c r="AM367" s="53" t="s">
        <v>113</v>
      </c>
      <c r="AN367" s="55">
        <v>150</v>
      </c>
      <c r="AO367" s="55"/>
      <c r="AP367" s="72" t="s">
        <v>125</v>
      </c>
      <c r="AQ367" s="55">
        <v>14</v>
      </c>
      <c r="AR367" s="55"/>
      <c r="AS367" s="53" t="s">
        <v>71</v>
      </c>
    </row>
    <row r="368" spans="33:83" ht="18" customHeight="1">
      <c r="AG368" s="73"/>
      <c r="AH368" s="73"/>
      <c r="AI368" s="72"/>
      <c r="AJ368" s="73"/>
      <c r="AK368" s="73"/>
      <c r="AN368" s="73"/>
      <c r="AO368" s="73"/>
      <c r="AP368" s="72"/>
      <c r="AQ368" s="73"/>
      <c r="AR368" s="73"/>
      <c r="CA368" s="73"/>
      <c r="CB368" s="72"/>
      <c r="CD368" s="73"/>
      <c r="CE368" s="72"/>
    </row>
    <row r="369" spans="4:38" ht="18" customHeight="1">
      <c r="D369" s="74" t="s">
        <v>126</v>
      </c>
      <c r="E369" s="75"/>
      <c r="F369" s="75"/>
      <c r="G369" s="75"/>
      <c r="H369" s="75"/>
      <c r="I369" s="75"/>
      <c r="J369" s="75"/>
      <c r="K369" s="75"/>
      <c r="L369" s="75"/>
      <c r="M369" s="75"/>
      <c r="N369" s="75"/>
      <c r="O369" s="75"/>
      <c r="P369" s="75"/>
      <c r="Q369" s="75"/>
      <c r="R369" s="75"/>
      <c r="S369" s="75"/>
      <c r="T369" s="75"/>
      <c r="U369" s="75"/>
      <c r="V369" s="75"/>
      <c r="W369" s="75"/>
      <c r="X369" s="75"/>
      <c r="Y369" s="75"/>
      <c r="Z369" s="75"/>
      <c r="AA369" s="75"/>
      <c r="AB369" s="76"/>
      <c r="AC369" s="74" t="s">
        <v>127</v>
      </c>
      <c r="AD369" s="31"/>
      <c r="AE369" s="31"/>
      <c r="AF369" s="32"/>
      <c r="AG369" s="77" t="s">
        <v>128</v>
      </c>
      <c r="AH369" s="75"/>
      <c r="AI369" s="75"/>
      <c r="AJ369" s="75"/>
      <c r="AK369" s="75"/>
      <c r="AL369" s="76"/>
    </row>
    <row r="370" spans="4:48" ht="18" customHeight="1">
      <c r="D370" s="78" t="s">
        <v>129</v>
      </c>
      <c r="E370" s="79"/>
      <c r="F370" s="79"/>
      <c r="G370" s="79"/>
      <c r="H370" s="79"/>
      <c r="I370" s="79"/>
      <c r="J370" s="79"/>
      <c r="K370" s="79"/>
      <c r="L370" s="79"/>
      <c r="M370" s="79"/>
      <c r="N370" s="79"/>
      <c r="O370" s="79"/>
      <c r="P370" s="79"/>
      <c r="Q370" s="79"/>
      <c r="R370" s="79"/>
      <c r="S370" s="79"/>
      <c r="T370" s="79"/>
      <c r="U370" s="79"/>
      <c r="V370" s="79"/>
      <c r="W370" s="79"/>
      <c r="X370" s="79"/>
      <c r="Y370" s="79"/>
      <c r="Z370" s="79"/>
      <c r="AA370" s="79"/>
      <c r="AB370" s="80"/>
      <c r="AC370" s="81" t="s">
        <v>101</v>
      </c>
      <c r="AD370" s="81"/>
      <c r="AE370" s="81"/>
      <c r="AF370" s="81"/>
      <c r="AG370" s="82">
        <v>200000</v>
      </c>
      <c r="AH370" s="83"/>
      <c r="AI370" s="83"/>
      <c r="AJ370" s="83"/>
      <c r="AK370" s="83"/>
      <c r="AL370" s="84"/>
      <c r="AV370" s="61"/>
    </row>
    <row r="371" spans="4:48" ht="18" customHeight="1">
      <c r="D371" s="78" t="s">
        <v>52</v>
      </c>
      <c r="E371" s="79"/>
      <c r="F371" s="79"/>
      <c r="G371" s="79"/>
      <c r="H371" s="79"/>
      <c r="I371" s="79"/>
      <c r="J371" s="79"/>
      <c r="K371" s="79"/>
      <c r="L371" s="79"/>
      <c r="M371" s="79"/>
      <c r="N371" s="79"/>
      <c r="O371" s="79"/>
      <c r="P371" s="79"/>
      <c r="Q371" s="79"/>
      <c r="R371" s="79"/>
      <c r="S371" s="79"/>
      <c r="T371" s="79"/>
      <c r="U371" s="79"/>
      <c r="V371" s="79"/>
      <c r="W371" s="79"/>
      <c r="X371" s="79"/>
      <c r="Y371" s="79"/>
      <c r="Z371" s="79"/>
      <c r="AA371" s="79"/>
      <c r="AB371" s="80"/>
      <c r="AC371" s="85" t="s">
        <v>130</v>
      </c>
      <c r="AD371" s="81"/>
      <c r="AE371" s="81"/>
      <c r="AF371" s="86"/>
      <c r="AG371" s="87">
        <v>2215.226</v>
      </c>
      <c r="AH371" s="88"/>
      <c r="AI371" s="88"/>
      <c r="AJ371" s="88"/>
      <c r="AK371" s="88"/>
      <c r="AL371" s="89"/>
      <c r="AV371" s="61"/>
    </row>
    <row r="372" spans="4:48" ht="18" customHeight="1">
      <c r="D372" s="78" t="s">
        <v>102</v>
      </c>
      <c r="E372" s="79"/>
      <c r="F372" s="79"/>
      <c r="G372" s="79"/>
      <c r="H372" s="79"/>
      <c r="I372" s="79"/>
      <c r="J372" s="79"/>
      <c r="K372" s="79"/>
      <c r="L372" s="79"/>
      <c r="M372" s="79"/>
      <c r="N372" s="79"/>
      <c r="O372" s="79"/>
      <c r="P372" s="79"/>
      <c r="Q372" s="79"/>
      <c r="R372" s="79"/>
      <c r="S372" s="79"/>
      <c r="T372" s="79"/>
      <c r="U372" s="79"/>
      <c r="V372" s="79"/>
      <c r="W372" s="79"/>
      <c r="X372" s="79"/>
      <c r="Y372" s="79"/>
      <c r="Z372" s="79"/>
      <c r="AA372" s="79"/>
      <c r="AB372" s="80"/>
      <c r="AC372" s="85" t="s">
        <v>130</v>
      </c>
      <c r="AD372" s="81"/>
      <c r="AE372" s="81"/>
      <c r="AF372" s="86"/>
      <c r="AG372" s="87">
        <v>3342.141</v>
      </c>
      <c r="AH372" s="88"/>
      <c r="AI372" s="88"/>
      <c r="AJ372" s="88"/>
      <c r="AK372" s="88"/>
      <c r="AL372" s="89"/>
      <c r="AV372" s="61"/>
    </row>
    <row r="373" spans="4:48" ht="18" customHeight="1">
      <c r="D373" s="78" t="s">
        <v>53</v>
      </c>
      <c r="E373" s="79"/>
      <c r="F373" s="79"/>
      <c r="G373" s="79"/>
      <c r="H373" s="79"/>
      <c r="I373" s="79"/>
      <c r="J373" s="79"/>
      <c r="K373" s="79"/>
      <c r="L373" s="79"/>
      <c r="M373" s="79"/>
      <c r="N373" s="79"/>
      <c r="O373" s="79"/>
      <c r="P373" s="79"/>
      <c r="Q373" s="79"/>
      <c r="R373" s="79"/>
      <c r="S373" s="79"/>
      <c r="T373" s="79"/>
      <c r="U373" s="79"/>
      <c r="V373" s="79"/>
      <c r="W373" s="79"/>
      <c r="X373" s="79"/>
      <c r="Y373" s="79"/>
      <c r="Z373" s="79"/>
      <c r="AA373" s="79"/>
      <c r="AB373" s="80"/>
      <c r="AC373" s="85" t="s">
        <v>131</v>
      </c>
      <c r="AD373" s="81"/>
      <c r="AE373" s="81"/>
      <c r="AF373" s="86"/>
      <c r="AG373" s="87">
        <v>607.859</v>
      </c>
      <c r="AH373" s="88"/>
      <c r="AI373" s="88"/>
      <c r="AJ373" s="88"/>
      <c r="AK373" s="88"/>
      <c r="AL373" s="89"/>
      <c r="AV373" s="61"/>
    </row>
    <row r="374" spans="4:48" ht="18" customHeight="1">
      <c r="D374" s="78" t="s">
        <v>103</v>
      </c>
      <c r="E374" s="79"/>
      <c r="F374" s="79"/>
      <c r="G374" s="79"/>
      <c r="H374" s="79"/>
      <c r="I374" s="79"/>
      <c r="J374" s="79"/>
      <c r="K374" s="79"/>
      <c r="L374" s="79"/>
      <c r="M374" s="79"/>
      <c r="N374" s="79"/>
      <c r="O374" s="79"/>
      <c r="P374" s="79"/>
      <c r="Q374" s="79"/>
      <c r="R374" s="79"/>
      <c r="S374" s="79"/>
      <c r="T374" s="79"/>
      <c r="U374" s="79"/>
      <c r="V374" s="79"/>
      <c r="W374" s="79"/>
      <c r="X374" s="79"/>
      <c r="Y374" s="79"/>
      <c r="Z374" s="79"/>
      <c r="AA374" s="79"/>
      <c r="AB374" s="80"/>
      <c r="AC374" s="85" t="s">
        <v>131</v>
      </c>
      <c r="AD374" s="81"/>
      <c r="AE374" s="81"/>
      <c r="AF374" s="86"/>
      <c r="AG374" s="87">
        <v>398.425</v>
      </c>
      <c r="AH374" s="88"/>
      <c r="AI374" s="88"/>
      <c r="AJ374" s="88"/>
      <c r="AK374" s="88"/>
      <c r="AL374" s="89"/>
      <c r="AV374" s="61"/>
    </row>
    <row r="375" spans="4:48" ht="18" customHeight="1">
      <c r="D375" s="78" t="s">
        <v>54</v>
      </c>
      <c r="E375" s="79"/>
      <c r="F375" s="79"/>
      <c r="G375" s="79"/>
      <c r="H375" s="79"/>
      <c r="I375" s="79"/>
      <c r="J375" s="79"/>
      <c r="K375" s="79"/>
      <c r="L375" s="79"/>
      <c r="M375" s="79"/>
      <c r="N375" s="79"/>
      <c r="O375" s="79"/>
      <c r="P375" s="79"/>
      <c r="Q375" s="79"/>
      <c r="R375" s="79"/>
      <c r="S375" s="79"/>
      <c r="T375" s="79"/>
      <c r="U375" s="79"/>
      <c r="V375" s="79"/>
      <c r="W375" s="79"/>
      <c r="X375" s="79"/>
      <c r="Y375" s="79"/>
      <c r="Z375" s="79"/>
      <c r="AA375" s="79"/>
      <c r="AB375" s="80"/>
      <c r="AC375" s="85" t="s">
        <v>130</v>
      </c>
      <c r="AD375" s="81"/>
      <c r="AE375" s="81"/>
      <c r="AF375" s="86"/>
      <c r="AG375" s="87">
        <v>-29.069</v>
      </c>
      <c r="AH375" s="88"/>
      <c r="AI375" s="88"/>
      <c r="AJ375" s="88"/>
      <c r="AK375" s="88"/>
      <c r="AL375" s="89"/>
      <c r="AV375" s="61"/>
    </row>
    <row r="376" spans="4:48" ht="18" customHeight="1">
      <c r="D376" s="78" t="s">
        <v>104</v>
      </c>
      <c r="E376" s="79"/>
      <c r="F376" s="79"/>
      <c r="G376" s="79"/>
      <c r="H376" s="79"/>
      <c r="I376" s="79"/>
      <c r="J376" s="79"/>
      <c r="K376" s="79"/>
      <c r="L376" s="79"/>
      <c r="M376" s="79"/>
      <c r="N376" s="79"/>
      <c r="O376" s="79"/>
      <c r="P376" s="79"/>
      <c r="Q376" s="79"/>
      <c r="R376" s="79"/>
      <c r="S376" s="79"/>
      <c r="T376" s="79"/>
      <c r="U376" s="79"/>
      <c r="V376" s="79"/>
      <c r="W376" s="79"/>
      <c r="X376" s="79"/>
      <c r="Y376" s="79"/>
      <c r="Z376" s="79"/>
      <c r="AA376" s="79"/>
      <c r="AB376" s="80"/>
      <c r="AC376" s="85" t="s">
        <v>130</v>
      </c>
      <c r="AD376" s="81"/>
      <c r="AE376" s="81"/>
      <c r="AF376" s="86"/>
      <c r="AG376" s="87">
        <v>-208.598</v>
      </c>
      <c r="AH376" s="88"/>
      <c r="AI376" s="88"/>
      <c r="AJ376" s="88"/>
      <c r="AK376" s="88"/>
      <c r="AL376" s="89"/>
      <c r="AV376" s="61"/>
    </row>
    <row r="378" ht="18" customHeight="1">
      <c r="D378" s="53" t="s">
        <v>132</v>
      </c>
    </row>
    <row r="379" spans="3:41" ht="18" customHeight="1">
      <c r="C379" s="74" t="s">
        <v>133</v>
      </c>
      <c r="D379" s="75"/>
      <c r="E379" s="75"/>
      <c r="F379" s="75"/>
      <c r="G379" s="75"/>
      <c r="H379" s="75"/>
      <c r="I379" s="75"/>
      <c r="J379" s="76"/>
      <c r="K379" s="77" t="s">
        <v>134</v>
      </c>
      <c r="L379" s="75"/>
      <c r="M379" s="76"/>
      <c r="N379" s="77" t="s">
        <v>135</v>
      </c>
      <c r="O379" s="75"/>
      <c r="P379" s="76"/>
      <c r="Q379" s="77" t="s">
        <v>136</v>
      </c>
      <c r="R379" s="75"/>
      <c r="S379" s="75"/>
      <c r="T379" s="76"/>
      <c r="U379" s="77" t="s">
        <v>137</v>
      </c>
      <c r="V379" s="75"/>
      <c r="W379" s="75"/>
      <c r="X379" s="76"/>
      <c r="Y379" s="77" t="s">
        <v>138</v>
      </c>
      <c r="Z379" s="75"/>
      <c r="AA379" s="75"/>
      <c r="AB379" s="75"/>
      <c r="AC379" s="76"/>
      <c r="AD379" s="77" t="s">
        <v>156</v>
      </c>
      <c r="AE379" s="75"/>
      <c r="AF379" s="75"/>
      <c r="AG379" s="75"/>
      <c r="AH379" s="75"/>
      <c r="AI379" s="76"/>
      <c r="AJ379" s="77" t="s">
        <v>157</v>
      </c>
      <c r="AK379" s="75"/>
      <c r="AL379" s="75"/>
      <c r="AM379" s="75"/>
      <c r="AN379" s="75"/>
      <c r="AO379" s="76"/>
    </row>
    <row r="380" spans="3:50" ht="18" customHeight="1">
      <c r="C380" s="90">
        <v>1</v>
      </c>
      <c r="D380" s="79" t="s">
        <v>72</v>
      </c>
      <c r="E380" s="79" t="s">
        <v>73</v>
      </c>
      <c r="F380" s="79"/>
      <c r="G380" s="79"/>
      <c r="H380" s="79"/>
      <c r="I380" s="79"/>
      <c r="J380" s="80"/>
      <c r="K380" s="91">
        <f>AG361*1000</f>
        <v>2640</v>
      </c>
      <c r="L380" s="92"/>
      <c r="M380" s="93"/>
      <c r="N380" s="91">
        <f>AG362*1000</f>
        <v>21</v>
      </c>
      <c r="O380" s="92"/>
      <c r="P380" s="93"/>
      <c r="Q380" s="94">
        <f aca="true" t="shared" si="9" ref="Q380:Q385">C380*K380*N380</f>
        <v>55440</v>
      </c>
      <c r="R380" s="95"/>
      <c r="S380" s="95"/>
      <c r="T380" s="96"/>
      <c r="U380" s="97">
        <f>-(N380+AG355*1000)/2</f>
        <v>-1310.5</v>
      </c>
      <c r="V380" s="98"/>
      <c r="W380" s="98"/>
      <c r="X380" s="99"/>
      <c r="Y380" s="94">
        <f aca="true" t="shared" si="10" ref="Y380:Y385">Q380*U380</f>
        <v>-72654120</v>
      </c>
      <c r="Z380" s="95"/>
      <c r="AA380" s="95"/>
      <c r="AB380" s="95"/>
      <c r="AC380" s="96"/>
      <c r="AD380" s="94">
        <f aca="true" t="shared" si="11" ref="AD380:AD385">U380*Y380</f>
        <v>95213224260</v>
      </c>
      <c r="AE380" s="95"/>
      <c r="AF380" s="95"/>
      <c r="AG380" s="95"/>
      <c r="AH380" s="95"/>
      <c r="AI380" s="96"/>
      <c r="AJ380" s="94">
        <f>C380*K380*POWER(N380,3)/12</f>
        <v>2037420</v>
      </c>
      <c r="AK380" s="95"/>
      <c r="AL380" s="95"/>
      <c r="AM380" s="95"/>
      <c r="AN380" s="95"/>
      <c r="AO380" s="96"/>
      <c r="AS380" s="3"/>
      <c r="AT380" s="3"/>
      <c r="AU380" s="3"/>
      <c r="AV380" s="100"/>
      <c r="AW380" s="3"/>
      <c r="AX380" s="3"/>
    </row>
    <row r="381" spans="3:50" ht="18" customHeight="1">
      <c r="C381" s="101">
        <v>5</v>
      </c>
      <c r="D381" s="79" t="s">
        <v>72</v>
      </c>
      <c r="E381" s="79" t="s">
        <v>74</v>
      </c>
      <c r="F381" s="79"/>
      <c r="G381" s="79"/>
      <c r="H381" s="79"/>
      <c r="I381" s="79"/>
      <c r="J381" s="80"/>
      <c r="K381" s="91">
        <f>AJ367</f>
        <v>14</v>
      </c>
      <c r="L381" s="92"/>
      <c r="M381" s="93"/>
      <c r="N381" s="91">
        <f>AG367</f>
        <v>150</v>
      </c>
      <c r="O381" s="92"/>
      <c r="P381" s="93"/>
      <c r="Q381" s="94">
        <f t="shared" si="9"/>
        <v>10500</v>
      </c>
      <c r="R381" s="95"/>
      <c r="S381" s="95"/>
      <c r="T381" s="96"/>
      <c r="U381" s="97">
        <f>-(AG355*1000-N381)/2</f>
        <v>-1225</v>
      </c>
      <c r="V381" s="98"/>
      <c r="W381" s="98"/>
      <c r="X381" s="99"/>
      <c r="Y381" s="94">
        <f t="shared" si="10"/>
        <v>-12862500</v>
      </c>
      <c r="Z381" s="95"/>
      <c r="AA381" s="95"/>
      <c r="AB381" s="95"/>
      <c r="AC381" s="96"/>
      <c r="AD381" s="94">
        <f t="shared" si="11"/>
        <v>15756562500</v>
      </c>
      <c r="AE381" s="95"/>
      <c r="AF381" s="95"/>
      <c r="AG381" s="95"/>
      <c r="AH381" s="95"/>
      <c r="AI381" s="96"/>
      <c r="AJ381" s="94">
        <f>C381*K381*POWER(N381,3)/12</f>
        <v>19687500</v>
      </c>
      <c r="AK381" s="95"/>
      <c r="AL381" s="95"/>
      <c r="AM381" s="95"/>
      <c r="AN381" s="95"/>
      <c r="AO381" s="96"/>
      <c r="AS381" s="3"/>
      <c r="AT381" s="3"/>
      <c r="AU381" s="3"/>
      <c r="AV381" s="3"/>
      <c r="AW381" s="3"/>
      <c r="AX381" s="3"/>
    </row>
    <row r="382" spans="3:50" ht="18" customHeight="1">
      <c r="C382" s="102">
        <v>1</v>
      </c>
      <c r="D382" s="103" t="s">
        <v>72</v>
      </c>
      <c r="E382" s="103" t="s">
        <v>139</v>
      </c>
      <c r="F382" s="103"/>
      <c r="G382" s="103"/>
      <c r="H382" s="103"/>
      <c r="I382" s="103"/>
      <c r="J382" s="104"/>
      <c r="K382" s="97">
        <f>AG364*1000</f>
        <v>10</v>
      </c>
      <c r="L382" s="81"/>
      <c r="M382" s="86"/>
      <c r="N382" s="97">
        <f>AG355/COS(RADIANS(F362))*1000</f>
        <v>2604.3233286210834</v>
      </c>
      <c r="O382" s="81"/>
      <c r="P382" s="86"/>
      <c r="Q382" s="105">
        <f t="shared" si="9"/>
        <v>26043.233286210834</v>
      </c>
      <c r="R382" s="106"/>
      <c r="S382" s="106"/>
      <c r="T382" s="107"/>
      <c r="U382" s="97">
        <v>0</v>
      </c>
      <c r="V382" s="98"/>
      <c r="W382" s="98"/>
      <c r="X382" s="99"/>
      <c r="Y382" s="108">
        <f t="shared" si="10"/>
        <v>0</v>
      </c>
      <c r="Z382" s="109"/>
      <c r="AA382" s="109"/>
      <c r="AB382" s="109"/>
      <c r="AC382" s="110"/>
      <c r="AD382" s="108">
        <f t="shared" si="11"/>
        <v>0</v>
      </c>
      <c r="AE382" s="109"/>
      <c r="AF382" s="109"/>
      <c r="AG382" s="109"/>
      <c r="AH382" s="109"/>
      <c r="AI382" s="110"/>
      <c r="AJ382" s="108">
        <f>C383*K383*N383/12*((N383*COS(RADIANS(F362)))^2+(K383*SIN(RADIANS(F362)))^2)</f>
        <v>14671022137.85546</v>
      </c>
      <c r="AK382" s="109"/>
      <c r="AL382" s="109"/>
      <c r="AM382" s="109"/>
      <c r="AN382" s="109"/>
      <c r="AO382" s="110"/>
      <c r="AS382" s="3"/>
      <c r="AT382" s="3"/>
      <c r="AU382" s="3"/>
      <c r="AV382" s="3"/>
      <c r="AW382" s="3"/>
      <c r="AX382" s="3"/>
    </row>
    <row r="383" spans="3:50" ht="18" customHeight="1">
      <c r="C383" s="102">
        <v>1</v>
      </c>
      <c r="D383" s="103" t="s">
        <v>72</v>
      </c>
      <c r="E383" s="103" t="s">
        <v>140</v>
      </c>
      <c r="F383" s="103"/>
      <c r="G383" s="103"/>
      <c r="H383" s="103"/>
      <c r="I383" s="103"/>
      <c r="J383" s="104"/>
      <c r="K383" s="97">
        <f>AG364*1000</f>
        <v>10</v>
      </c>
      <c r="L383" s="81"/>
      <c r="M383" s="86"/>
      <c r="N383" s="97">
        <f>AG355/COS(RADIANS(X362))*1000</f>
        <v>2604.3233286210834</v>
      </c>
      <c r="O383" s="81"/>
      <c r="P383" s="86"/>
      <c r="Q383" s="105">
        <f t="shared" si="9"/>
        <v>26043.233286210834</v>
      </c>
      <c r="R383" s="106"/>
      <c r="S383" s="106"/>
      <c r="T383" s="107"/>
      <c r="U383" s="97">
        <v>0</v>
      </c>
      <c r="V383" s="98"/>
      <c r="W383" s="98"/>
      <c r="X383" s="99"/>
      <c r="Y383" s="108">
        <f t="shared" si="10"/>
        <v>0</v>
      </c>
      <c r="Z383" s="109"/>
      <c r="AA383" s="109"/>
      <c r="AB383" s="109"/>
      <c r="AC383" s="110"/>
      <c r="AD383" s="108">
        <f t="shared" si="11"/>
        <v>0</v>
      </c>
      <c r="AE383" s="109"/>
      <c r="AF383" s="109"/>
      <c r="AG383" s="109"/>
      <c r="AH383" s="109"/>
      <c r="AI383" s="110"/>
      <c r="AJ383" s="108">
        <f>C383*K383*N383/12*((N383*COS(RADIANS(X362)))^2+(K383*SIN(RADIANS(X362)))^2)</f>
        <v>14671022137.85546</v>
      </c>
      <c r="AK383" s="109"/>
      <c r="AL383" s="109"/>
      <c r="AM383" s="109"/>
      <c r="AN383" s="109"/>
      <c r="AO383" s="110"/>
      <c r="AS383" s="3"/>
      <c r="AT383" s="3"/>
      <c r="AU383" s="3"/>
      <c r="AV383" s="3"/>
      <c r="AW383" s="3"/>
      <c r="AX383" s="3"/>
    </row>
    <row r="384" spans="3:41" ht="18" customHeight="1">
      <c r="C384" s="101">
        <v>5</v>
      </c>
      <c r="D384" s="79" t="s">
        <v>72</v>
      </c>
      <c r="E384" s="79" t="s">
        <v>75</v>
      </c>
      <c r="F384" s="79"/>
      <c r="G384" s="79"/>
      <c r="H384" s="79"/>
      <c r="I384" s="79"/>
      <c r="J384" s="80"/>
      <c r="K384" s="91">
        <f>AQ367</f>
        <v>14</v>
      </c>
      <c r="L384" s="92"/>
      <c r="M384" s="93"/>
      <c r="N384" s="91">
        <f>AN367</f>
        <v>150</v>
      </c>
      <c r="O384" s="92"/>
      <c r="P384" s="93"/>
      <c r="Q384" s="94">
        <f t="shared" si="9"/>
        <v>10500</v>
      </c>
      <c r="R384" s="95"/>
      <c r="S384" s="95"/>
      <c r="T384" s="96"/>
      <c r="U384" s="97">
        <f>(AG355*1000-N384)/2</f>
        <v>1225</v>
      </c>
      <c r="V384" s="98"/>
      <c r="W384" s="98"/>
      <c r="X384" s="99"/>
      <c r="Y384" s="94">
        <f t="shared" si="10"/>
        <v>12862500</v>
      </c>
      <c r="Z384" s="95"/>
      <c r="AA384" s="95"/>
      <c r="AB384" s="95"/>
      <c r="AC384" s="96"/>
      <c r="AD384" s="94">
        <f t="shared" si="11"/>
        <v>15756562500</v>
      </c>
      <c r="AE384" s="95"/>
      <c r="AF384" s="95"/>
      <c r="AG384" s="95"/>
      <c r="AH384" s="95"/>
      <c r="AI384" s="96"/>
      <c r="AJ384" s="94">
        <f>C384*K384*POWER(N384,3)/12</f>
        <v>19687500</v>
      </c>
      <c r="AK384" s="95"/>
      <c r="AL384" s="95"/>
      <c r="AM384" s="95"/>
      <c r="AN384" s="95"/>
      <c r="AO384" s="96"/>
    </row>
    <row r="385" spans="3:41" ht="18" customHeight="1">
      <c r="C385" s="90">
        <v>1</v>
      </c>
      <c r="D385" s="79" t="s">
        <v>72</v>
      </c>
      <c r="E385" s="79" t="s">
        <v>76</v>
      </c>
      <c r="F385" s="79"/>
      <c r="G385" s="79"/>
      <c r="H385" s="79"/>
      <c r="I385" s="79"/>
      <c r="J385" s="80"/>
      <c r="K385" s="91">
        <f>AM361*1000</f>
        <v>2340</v>
      </c>
      <c r="L385" s="92"/>
      <c r="M385" s="93"/>
      <c r="N385" s="91">
        <f>AG363*1000</f>
        <v>21</v>
      </c>
      <c r="O385" s="92"/>
      <c r="P385" s="93"/>
      <c r="Q385" s="94">
        <f t="shared" si="9"/>
        <v>49140</v>
      </c>
      <c r="R385" s="95"/>
      <c r="S385" s="95"/>
      <c r="T385" s="96"/>
      <c r="U385" s="97">
        <f>(N385+AG355*1000)/2</f>
        <v>1310.5</v>
      </c>
      <c r="V385" s="98"/>
      <c r="W385" s="98"/>
      <c r="X385" s="99"/>
      <c r="Y385" s="94">
        <f t="shared" si="10"/>
        <v>64397970</v>
      </c>
      <c r="Z385" s="95"/>
      <c r="AA385" s="95"/>
      <c r="AB385" s="95"/>
      <c r="AC385" s="96"/>
      <c r="AD385" s="94">
        <f t="shared" si="11"/>
        <v>84393539685</v>
      </c>
      <c r="AE385" s="95"/>
      <c r="AF385" s="95"/>
      <c r="AG385" s="95"/>
      <c r="AH385" s="95"/>
      <c r="AI385" s="96"/>
      <c r="AJ385" s="94">
        <f>C385*K385*POWER(N385,3)/12</f>
        <v>1805895</v>
      </c>
      <c r="AK385" s="95"/>
      <c r="AL385" s="95"/>
      <c r="AM385" s="95"/>
      <c r="AN385" s="95"/>
      <c r="AO385" s="96"/>
    </row>
    <row r="386" spans="3:41" ht="18" customHeight="1">
      <c r="C386" s="111" t="s">
        <v>141</v>
      </c>
      <c r="D386" s="92"/>
      <c r="E386" s="92"/>
      <c r="F386" s="92"/>
      <c r="G386" s="92"/>
      <c r="H386" s="92"/>
      <c r="I386" s="92"/>
      <c r="J386" s="93"/>
      <c r="K386" s="78"/>
      <c r="L386" s="79"/>
      <c r="M386" s="80"/>
      <c r="N386" s="78"/>
      <c r="O386" s="79"/>
      <c r="P386" s="80"/>
      <c r="Q386" s="112">
        <f>SUM(Q380:Q385)</f>
        <v>177666.46657242166</v>
      </c>
      <c r="R386" s="113"/>
      <c r="S386" s="113"/>
      <c r="T386" s="114"/>
      <c r="U386" s="115"/>
      <c r="V386" s="116"/>
      <c r="W386" s="116"/>
      <c r="X386" s="117"/>
      <c r="Y386" s="94">
        <f>SUM(Y380:Y385)</f>
        <v>-8256150</v>
      </c>
      <c r="Z386" s="95"/>
      <c r="AA386" s="95"/>
      <c r="AB386" s="95"/>
      <c r="AC386" s="96"/>
      <c r="AD386" s="94">
        <f>SUM(AD380:AD385)</f>
        <v>211119888945</v>
      </c>
      <c r="AE386" s="95"/>
      <c r="AF386" s="95"/>
      <c r="AG386" s="95"/>
      <c r="AH386" s="95"/>
      <c r="AI386" s="96"/>
      <c r="AJ386" s="94">
        <f>SUM(AJ380:AJ385)</f>
        <v>29385262590.71092</v>
      </c>
      <c r="AK386" s="95"/>
      <c r="AL386" s="95"/>
      <c r="AM386" s="95"/>
      <c r="AN386" s="95"/>
      <c r="AO386" s="96"/>
    </row>
    <row r="387" spans="7:20" ht="18" customHeight="1">
      <c r="G387" s="118"/>
      <c r="H387" s="118"/>
      <c r="I387" s="118"/>
      <c r="J387" s="118"/>
      <c r="K387" s="3"/>
      <c r="P387" s="119"/>
      <c r="Q387" s="119"/>
      <c r="R387" s="119"/>
      <c r="S387" s="119"/>
      <c r="T387" s="3"/>
    </row>
    <row r="388" spans="7:20" ht="18" customHeight="1">
      <c r="G388" s="118"/>
      <c r="H388" s="118"/>
      <c r="I388" s="118"/>
      <c r="J388" s="118"/>
      <c r="K388" s="3"/>
      <c r="P388" s="119"/>
      <c r="Q388" s="119"/>
      <c r="R388" s="119"/>
      <c r="S388" s="119"/>
      <c r="T388" s="3"/>
    </row>
    <row r="389" ht="18" customHeight="1">
      <c r="A389" s="120" t="s">
        <v>143</v>
      </c>
    </row>
    <row r="400" ht="18" customHeight="1">
      <c r="B400" s="53" t="s">
        <v>144</v>
      </c>
    </row>
    <row r="401" spans="3:32" ht="18" customHeight="1">
      <c r="C401" s="53" t="s">
        <v>77</v>
      </c>
      <c r="L401" s="121">
        <f>AD386</f>
        <v>211119888945</v>
      </c>
      <c r="M401" s="121"/>
      <c r="N401" s="121"/>
      <c r="O401" s="121"/>
      <c r="P401" s="121"/>
      <c r="Q401" s="53" t="s">
        <v>78</v>
      </c>
      <c r="R401" s="122">
        <f>AJ386</f>
        <v>29385262590.71092</v>
      </c>
      <c r="S401" s="122"/>
      <c r="T401" s="122"/>
      <c r="U401" s="122"/>
      <c r="V401" s="122"/>
      <c r="W401" s="122"/>
      <c r="X401" s="122"/>
      <c r="Y401" s="53" t="s">
        <v>79</v>
      </c>
      <c r="Z401" s="121">
        <f>L401+R401</f>
        <v>240505151535.7109</v>
      </c>
      <c r="AA401" s="121"/>
      <c r="AB401" s="121"/>
      <c r="AC401" s="121"/>
      <c r="AD401" s="121"/>
      <c r="AE401" s="121"/>
      <c r="AF401" s="1" t="s">
        <v>158</v>
      </c>
    </row>
    <row r="402" spans="3:30" ht="18" customHeight="1">
      <c r="C402" s="53" t="s">
        <v>80</v>
      </c>
      <c r="L402" s="121">
        <f>Y386</f>
        <v>-8256150</v>
      </c>
      <c r="M402" s="121"/>
      <c r="N402" s="121"/>
      <c r="O402" s="121"/>
      <c r="P402" s="121"/>
      <c r="Q402" s="53" t="s">
        <v>81</v>
      </c>
      <c r="R402" s="121">
        <f>Q386</f>
        <v>177666.46657242166</v>
      </c>
      <c r="S402" s="121"/>
      <c r="T402" s="121"/>
      <c r="U402" s="121"/>
      <c r="V402" s="121"/>
      <c r="W402" s="53" t="s">
        <v>79</v>
      </c>
      <c r="X402" s="123">
        <f>L402/R402</f>
        <v>-46.4699397656708</v>
      </c>
      <c r="Y402" s="123"/>
      <c r="Z402" s="123"/>
      <c r="AA402" s="123"/>
      <c r="AB402" s="123"/>
      <c r="AC402" s="123"/>
      <c r="AD402" s="2" t="s">
        <v>145</v>
      </c>
    </row>
    <row r="403" spans="2:43" ht="18" customHeight="1">
      <c r="B403" s="3"/>
      <c r="C403" s="3" t="s">
        <v>82</v>
      </c>
      <c r="D403" s="3"/>
      <c r="E403" s="3"/>
      <c r="F403" s="3"/>
      <c r="G403" s="3"/>
      <c r="H403" s="3"/>
      <c r="I403" s="3"/>
      <c r="J403" s="3"/>
      <c r="K403" s="3"/>
      <c r="L403" s="124">
        <f>Z401</f>
        <v>240505151535.7109</v>
      </c>
      <c r="M403" s="124"/>
      <c r="N403" s="124"/>
      <c r="O403" s="124"/>
      <c r="P403" s="124"/>
      <c r="Q403" s="3" t="s">
        <v>72</v>
      </c>
      <c r="R403" s="124">
        <f>Q386</f>
        <v>177666.46657242166</v>
      </c>
      <c r="S403" s="124"/>
      <c r="T403" s="124"/>
      <c r="U403" s="124"/>
      <c r="V403" s="124"/>
      <c r="W403" s="3" t="s">
        <v>83</v>
      </c>
      <c r="X403" s="125">
        <f>X402</f>
        <v>-46.4699397656708</v>
      </c>
      <c r="Y403" s="33"/>
      <c r="Z403" s="33"/>
      <c r="AA403" s="33"/>
      <c r="AB403" s="33"/>
      <c r="AC403" s="3" t="s">
        <v>79</v>
      </c>
      <c r="AD403" s="124">
        <f>L403-R403*X403^2</f>
        <v>240121488742.51456</v>
      </c>
      <c r="AE403" s="124"/>
      <c r="AF403" s="124"/>
      <c r="AG403" s="124"/>
      <c r="AH403" s="124"/>
      <c r="AI403" s="124"/>
      <c r="AJ403" s="1" t="s">
        <v>158</v>
      </c>
      <c r="AK403" s="3"/>
      <c r="AL403" s="3"/>
      <c r="AM403" s="3"/>
      <c r="AN403" s="3"/>
      <c r="AO403" s="3"/>
      <c r="AP403" s="3"/>
      <c r="AQ403" s="3"/>
    </row>
    <row r="404" spans="2:43" ht="18" customHeight="1">
      <c r="B404" s="3"/>
      <c r="C404" s="3" t="s">
        <v>146</v>
      </c>
      <c r="D404" s="3"/>
      <c r="E404" s="3"/>
      <c r="F404" s="3"/>
      <c r="G404" s="3"/>
      <c r="H404" s="3"/>
      <c r="I404" s="3"/>
      <c r="J404" s="3"/>
      <c r="K404" s="3"/>
      <c r="L404" s="3"/>
      <c r="M404" s="126">
        <f>-AG355*1000</f>
        <v>-2600</v>
      </c>
      <c r="N404" s="33"/>
      <c r="O404" s="33"/>
      <c r="P404" s="33"/>
      <c r="Q404" s="3" t="s">
        <v>84</v>
      </c>
      <c r="R404" s="3"/>
      <c r="S404" s="3"/>
      <c r="T404" s="3" t="s">
        <v>147</v>
      </c>
      <c r="U404" s="126">
        <f>N380</f>
        <v>21</v>
      </c>
      <c r="V404" s="33"/>
      <c r="W404" s="3" t="s">
        <v>72</v>
      </c>
      <c r="X404" s="33">
        <f>X403</f>
        <v>-46.4699397656708</v>
      </c>
      <c r="Y404" s="33"/>
      <c r="Z404" s="33"/>
      <c r="AA404" s="33"/>
      <c r="AB404" s="33"/>
      <c r="AC404" s="3" t="s">
        <v>79</v>
      </c>
      <c r="AD404" s="33">
        <f>M404/2-U404-X404</f>
        <v>-1274.530060234329</v>
      </c>
      <c r="AE404" s="33"/>
      <c r="AF404" s="33"/>
      <c r="AG404" s="33"/>
      <c r="AH404" s="33"/>
      <c r="AI404" s="33"/>
      <c r="AJ404" s="2" t="s">
        <v>145</v>
      </c>
      <c r="AK404" s="3"/>
      <c r="AL404" s="3"/>
      <c r="AM404" s="3"/>
      <c r="AN404" s="3"/>
      <c r="AO404" s="3"/>
      <c r="AP404" s="3"/>
      <c r="AQ404" s="3"/>
    </row>
    <row r="405" spans="1:43" ht="18" customHeight="1">
      <c r="A405" s="3"/>
      <c r="B405" s="3"/>
      <c r="C405" s="3" t="s">
        <v>148</v>
      </c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3">
        <f>AD404</f>
        <v>-1274.530060234329</v>
      </c>
      <c r="Q405" s="33"/>
      <c r="R405" s="33"/>
      <c r="S405" s="33"/>
      <c r="T405" s="33"/>
      <c r="U405" s="3" t="s">
        <v>149</v>
      </c>
      <c r="V405" s="33">
        <f>(AG355+AG362+AG363)*1000</f>
        <v>2642</v>
      </c>
      <c r="W405" s="33"/>
      <c r="X405" s="33"/>
      <c r="Y405" s="33"/>
      <c r="Z405" s="3" t="s">
        <v>79</v>
      </c>
      <c r="AA405" s="33">
        <f>P405+V405</f>
        <v>1367.469939765671</v>
      </c>
      <c r="AB405" s="33"/>
      <c r="AC405" s="33"/>
      <c r="AD405" s="33"/>
      <c r="AE405" s="33"/>
      <c r="AF405" s="2" t="s">
        <v>145</v>
      </c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</row>
    <row r="406" spans="1:45" ht="18" customHeight="1">
      <c r="A406" s="3"/>
      <c r="B406" s="3"/>
      <c r="C406" s="3" t="s">
        <v>150</v>
      </c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 t="s">
        <v>151</v>
      </c>
      <c r="AB406" s="126">
        <f>((AG356+AM356+AG357)/2+AG364)*(AG355+AG362/2+AG363/2)*1000000</f>
        <v>5923459.999999999</v>
      </c>
      <c r="AC406" s="126"/>
      <c r="AD406" s="126"/>
      <c r="AE406" s="126"/>
      <c r="AF406" s="126"/>
      <c r="AG406" s="3" t="s">
        <v>142</v>
      </c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</row>
    <row r="407" spans="1:45" ht="18" customHeight="1">
      <c r="A407" s="3"/>
      <c r="B407" s="3"/>
      <c r="C407" s="3" t="s">
        <v>55</v>
      </c>
      <c r="D407" s="3"/>
      <c r="E407" s="3"/>
      <c r="F407" s="3"/>
      <c r="G407" s="3"/>
      <c r="H407" s="3"/>
      <c r="I407" s="3"/>
      <c r="J407" s="3"/>
      <c r="K407" s="3"/>
      <c r="L407" s="3"/>
      <c r="M407" s="33">
        <f>AG371*1000000*P405/AD403</f>
        <v>-11.758098544192315</v>
      </c>
      <c r="N407" s="33"/>
      <c r="O407" s="33"/>
      <c r="P407" s="33"/>
      <c r="Q407" s="33"/>
      <c r="R407" s="3" t="s">
        <v>101</v>
      </c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</row>
    <row r="408" spans="1:45" ht="18" customHeight="1">
      <c r="A408" s="3"/>
      <c r="B408" s="3"/>
      <c r="C408" s="3" t="s">
        <v>56</v>
      </c>
      <c r="D408" s="3"/>
      <c r="E408" s="3"/>
      <c r="F408" s="3"/>
      <c r="G408" s="3"/>
      <c r="H408" s="3"/>
      <c r="I408" s="3"/>
      <c r="J408" s="3"/>
      <c r="K408" s="3"/>
      <c r="L408" s="3"/>
      <c r="M408" s="33">
        <f>AG371*1000000*AA405/AD403</f>
        <v>12.615509676585665</v>
      </c>
      <c r="N408" s="33"/>
      <c r="O408" s="33"/>
      <c r="P408" s="33"/>
      <c r="Q408" s="33"/>
      <c r="R408" s="3" t="s">
        <v>101</v>
      </c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</row>
    <row r="409" spans="1:45" ht="18" customHeight="1">
      <c r="A409" s="3"/>
      <c r="B409" s="3"/>
      <c r="C409" s="3" t="s">
        <v>57</v>
      </c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3">
        <f>ABS(AG373)*1000/(Q382+Q383)+ABS(AG375)*1000000/(2*AB406*AG364*1000)</f>
        <v>11.915562535279486</v>
      </c>
      <c r="T409" s="33"/>
      <c r="U409" s="33"/>
      <c r="V409" s="33"/>
      <c r="W409" s="33"/>
      <c r="X409" s="3" t="s">
        <v>101</v>
      </c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</row>
    <row r="410" spans="1:45" ht="18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</row>
    <row r="411" spans="1:45" ht="18" customHeight="1">
      <c r="A411" s="3"/>
      <c r="B411" s="3" t="s">
        <v>58</v>
      </c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</row>
    <row r="412" spans="1:46" ht="18" customHeight="1">
      <c r="A412" s="3"/>
      <c r="B412" s="3"/>
      <c r="C412" s="3" t="s">
        <v>105</v>
      </c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3">
        <f>AG372*1000000/AD403*AD404</f>
        <v>-17.739600034752865</v>
      </c>
      <c r="O412" s="33"/>
      <c r="P412" s="33"/>
      <c r="Q412" s="33"/>
      <c r="R412" s="33"/>
      <c r="S412" s="3" t="s">
        <v>101</v>
      </c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61"/>
    </row>
    <row r="413" spans="1:45" ht="18" customHeight="1">
      <c r="A413" s="3"/>
      <c r="B413" s="3"/>
      <c r="C413" s="3" t="s">
        <v>106</v>
      </c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3">
        <f>AG372*1000000/AD403*AA405</f>
        <v>19.033187641357447</v>
      </c>
      <c r="O413" s="33"/>
      <c r="P413" s="33"/>
      <c r="Q413" s="33"/>
      <c r="R413" s="33"/>
      <c r="S413" s="3" t="s">
        <v>101</v>
      </c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</row>
    <row r="414" spans="1:45" ht="18" customHeight="1">
      <c r="A414" s="3"/>
      <c r="B414" s="3"/>
      <c r="C414" s="3" t="s">
        <v>107</v>
      </c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3">
        <f>ABS(AG374)*1000/(Q382+Q383)+ABS(AG376)*100000/(2*AB406*AG364*100)</f>
        <v>9.410078160845654</v>
      </c>
      <c r="T414" s="33"/>
      <c r="U414" s="33"/>
      <c r="V414" s="33"/>
      <c r="W414" s="33"/>
      <c r="X414" s="3" t="s">
        <v>101</v>
      </c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</row>
    <row r="415" spans="1:45" ht="18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</row>
    <row r="416" spans="1:54" ht="18" customHeight="1">
      <c r="A416" s="3"/>
      <c r="B416" s="3" t="s">
        <v>59</v>
      </c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U416" s="4" t="s">
        <v>159</v>
      </c>
      <c r="AV416" s="4"/>
      <c r="AW416" s="4"/>
      <c r="AX416" s="4"/>
      <c r="AY416" s="4"/>
      <c r="AZ416" s="4"/>
      <c r="BA416" s="4"/>
      <c r="BB416" s="4"/>
    </row>
    <row r="417" spans="1:88" ht="18" customHeight="1">
      <c r="A417" s="3"/>
      <c r="B417" s="3"/>
      <c r="C417" s="3" t="s">
        <v>108</v>
      </c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3">
        <f>ABS((AG373+AG374)*1000/(Q382+Q383))+ABS((AG375+AG376)/(2*AB406*AG364*1000))*1000000</f>
        <v>21.32564069612514</v>
      </c>
      <c r="AA417" s="33"/>
      <c r="AB417" s="33"/>
      <c r="AC417" s="33"/>
      <c r="AD417" s="3" t="s">
        <v>101</v>
      </c>
      <c r="AE417" s="3"/>
      <c r="AF417" s="3" t="s">
        <v>86</v>
      </c>
      <c r="AG417" s="3" t="s">
        <v>87</v>
      </c>
      <c r="AH417" s="3"/>
      <c r="AI417" s="3"/>
      <c r="AJ417" s="127">
        <f>HLOOKUP(AG353,AX417:CJ420,AU417,FALSE)</f>
        <v>120</v>
      </c>
      <c r="AK417" s="33"/>
      <c r="AL417" s="33"/>
      <c r="AM417" s="3" t="s">
        <v>101</v>
      </c>
      <c r="AN417" s="3"/>
      <c r="AO417" s="3"/>
      <c r="AP417" s="3" t="str">
        <f>IF(Z417&lt;AJ417,"O.K.","N.G.")</f>
        <v>O.K.</v>
      </c>
      <c r="AQ417" s="3"/>
      <c r="AR417" s="3"/>
      <c r="AS417" s="3"/>
      <c r="AU417" s="128">
        <f>IF(AG364&lt;=0.04,2,IF(AG364&lt;=0.075,3,4))</f>
        <v>2</v>
      </c>
      <c r="AV417" s="129"/>
      <c r="AW417" s="130"/>
      <c r="AX417" s="25" t="s">
        <v>4</v>
      </c>
      <c r="AY417" s="26"/>
      <c r="AZ417" s="27"/>
      <c r="BA417" s="25" t="s">
        <v>5</v>
      </c>
      <c r="BB417" s="26"/>
      <c r="BC417" s="27"/>
      <c r="BD417" s="25" t="s">
        <v>6</v>
      </c>
      <c r="BE417" s="26"/>
      <c r="BF417" s="27"/>
      <c r="BG417" s="25" t="s">
        <v>7</v>
      </c>
      <c r="BH417" s="26"/>
      <c r="BI417" s="27"/>
      <c r="BJ417" s="25" t="s">
        <v>88</v>
      </c>
      <c r="BK417" s="26"/>
      <c r="BL417" s="27"/>
      <c r="BM417" s="131" t="s">
        <v>8</v>
      </c>
      <c r="BN417" s="132"/>
      <c r="BO417" s="133"/>
      <c r="BP417" s="25" t="s">
        <v>9</v>
      </c>
      <c r="BQ417" s="26"/>
      <c r="BR417" s="27"/>
      <c r="BS417" s="25" t="s">
        <v>10</v>
      </c>
      <c r="BT417" s="26"/>
      <c r="BU417" s="27"/>
      <c r="BV417" s="25" t="s">
        <v>11</v>
      </c>
      <c r="BW417" s="26"/>
      <c r="BX417" s="27"/>
      <c r="BY417" s="131" t="s">
        <v>12</v>
      </c>
      <c r="BZ417" s="132"/>
      <c r="CA417" s="133"/>
      <c r="CB417" s="25" t="s">
        <v>13</v>
      </c>
      <c r="CC417" s="26"/>
      <c r="CD417" s="27"/>
      <c r="CE417" s="25" t="s">
        <v>14</v>
      </c>
      <c r="CF417" s="26"/>
      <c r="CG417" s="27"/>
      <c r="CH417" s="131" t="s">
        <v>15</v>
      </c>
      <c r="CI417" s="132"/>
      <c r="CJ417" s="133"/>
    </row>
    <row r="418" spans="1:88" ht="18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U418" s="19">
        <v>40</v>
      </c>
      <c r="AV418" s="20"/>
      <c r="AW418" s="21"/>
      <c r="AX418" s="19">
        <v>80</v>
      </c>
      <c r="AY418" s="20"/>
      <c r="AZ418" s="21"/>
      <c r="BA418" s="19">
        <f>AX418</f>
        <v>80</v>
      </c>
      <c r="BB418" s="20"/>
      <c r="BC418" s="21"/>
      <c r="BD418" s="19">
        <f>AX418</f>
        <v>80</v>
      </c>
      <c r="BE418" s="20"/>
      <c r="BF418" s="21"/>
      <c r="BG418" s="19">
        <v>80</v>
      </c>
      <c r="BH418" s="20"/>
      <c r="BI418" s="21"/>
      <c r="BJ418" s="19">
        <v>105</v>
      </c>
      <c r="BK418" s="20"/>
      <c r="BL418" s="21"/>
      <c r="BM418" s="19">
        <v>105</v>
      </c>
      <c r="BN418" s="20"/>
      <c r="BO418" s="21"/>
      <c r="BP418" s="19">
        <v>120</v>
      </c>
      <c r="BQ418" s="20"/>
      <c r="BR418" s="21"/>
      <c r="BS418" s="19">
        <f>BP418</f>
        <v>120</v>
      </c>
      <c r="BT418" s="20"/>
      <c r="BU418" s="21"/>
      <c r="BV418" s="19">
        <f>BP418</f>
        <v>120</v>
      </c>
      <c r="BW418" s="20"/>
      <c r="BX418" s="21"/>
      <c r="BY418" s="19">
        <v>120</v>
      </c>
      <c r="BZ418" s="20"/>
      <c r="CA418" s="21"/>
      <c r="CB418" s="19">
        <v>145</v>
      </c>
      <c r="CC418" s="20"/>
      <c r="CD418" s="21"/>
      <c r="CE418" s="19">
        <f>CB418</f>
        <v>145</v>
      </c>
      <c r="CF418" s="20"/>
      <c r="CG418" s="21"/>
      <c r="CH418" s="19">
        <v>145</v>
      </c>
      <c r="CI418" s="20"/>
      <c r="CJ418" s="21"/>
    </row>
    <row r="419" spans="1:88" ht="18" customHeight="1">
      <c r="A419" s="3"/>
      <c r="B419" s="3" t="s">
        <v>60</v>
      </c>
      <c r="C419" s="3"/>
      <c r="D419" s="3"/>
      <c r="E419" s="3"/>
      <c r="F419" s="3"/>
      <c r="G419" s="3"/>
      <c r="H419" s="3"/>
      <c r="I419" s="3"/>
      <c r="J419" s="3"/>
      <c r="K419" s="134"/>
      <c r="L419" s="3"/>
      <c r="M419" s="3"/>
      <c r="N419" s="3"/>
      <c r="O419" s="3"/>
      <c r="P419" s="3"/>
      <c r="Q419" s="3"/>
      <c r="R419" s="3"/>
      <c r="S419" s="3"/>
      <c r="T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U419" s="135" t="s">
        <v>16</v>
      </c>
      <c r="AV419" s="136"/>
      <c r="AW419" s="137"/>
      <c r="AX419" s="19">
        <v>75</v>
      </c>
      <c r="AY419" s="20"/>
      <c r="AZ419" s="21"/>
      <c r="BA419" s="19">
        <f>AX419</f>
        <v>75</v>
      </c>
      <c r="BB419" s="20"/>
      <c r="BC419" s="21"/>
      <c r="BD419" s="19">
        <f>AX419</f>
        <v>75</v>
      </c>
      <c r="BE419" s="20"/>
      <c r="BF419" s="21"/>
      <c r="BG419" s="19">
        <v>80</v>
      </c>
      <c r="BH419" s="20"/>
      <c r="BI419" s="21"/>
      <c r="BJ419" s="19">
        <v>100</v>
      </c>
      <c r="BK419" s="20"/>
      <c r="BL419" s="21"/>
      <c r="BM419" s="19">
        <v>105</v>
      </c>
      <c r="BN419" s="20"/>
      <c r="BO419" s="21"/>
      <c r="BP419" s="19">
        <v>115</v>
      </c>
      <c r="BQ419" s="20"/>
      <c r="BR419" s="21"/>
      <c r="BS419" s="19">
        <f>BP419</f>
        <v>115</v>
      </c>
      <c r="BT419" s="20"/>
      <c r="BU419" s="21"/>
      <c r="BV419" s="19">
        <f>BP419</f>
        <v>115</v>
      </c>
      <c r="BW419" s="20"/>
      <c r="BX419" s="21"/>
      <c r="BY419" s="19">
        <v>120</v>
      </c>
      <c r="BZ419" s="20"/>
      <c r="CA419" s="21"/>
      <c r="CB419" s="19">
        <v>140</v>
      </c>
      <c r="CC419" s="20"/>
      <c r="CD419" s="21"/>
      <c r="CE419" s="19">
        <f>CB419</f>
        <v>140</v>
      </c>
      <c r="CF419" s="20"/>
      <c r="CG419" s="21"/>
      <c r="CH419" s="19">
        <v>145</v>
      </c>
      <c r="CI419" s="20"/>
      <c r="CJ419" s="21"/>
    </row>
    <row r="420" spans="1:88" ht="18" customHeight="1">
      <c r="A420" s="3"/>
      <c r="B420" s="3"/>
      <c r="C420" s="3" t="s">
        <v>160</v>
      </c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U420" s="135" t="s">
        <v>17</v>
      </c>
      <c r="AV420" s="136"/>
      <c r="AW420" s="137"/>
      <c r="AX420" s="19">
        <v>75</v>
      </c>
      <c r="AY420" s="20"/>
      <c r="AZ420" s="21"/>
      <c r="BA420" s="19">
        <f>AX420</f>
        <v>75</v>
      </c>
      <c r="BB420" s="20"/>
      <c r="BC420" s="21"/>
      <c r="BD420" s="19">
        <f>AX420</f>
        <v>75</v>
      </c>
      <c r="BE420" s="20"/>
      <c r="BF420" s="21"/>
      <c r="BG420" s="19">
        <v>80</v>
      </c>
      <c r="BH420" s="20"/>
      <c r="BI420" s="21"/>
      <c r="BJ420" s="19">
        <v>100</v>
      </c>
      <c r="BK420" s="20"/>
      <c r="BL420" s="21"/>
      <c r="BM420" s="19">
        <v>105</v>
      </c>
      <c r="BN420" s="20"/>
      <c r="BO420" s="21"/>
      <c r="BP420" s="19">
        <v>110</v>
      </c>
      <c r="BQ420" s="20"/>
      <c r="BR420" s="21"/>
      <c r="BS420" s="19">
        <f>BP420</f>
        <v>110</v>
      </c>
      <c r="BT420" s="20"/>
      <c r="BU420" s="21"/>
      <c r="BV420" s="19">
        <f>BP420</f>
        <v>110</v>
      </c>
      <c r="BW420" s="20"/>
      <c r="BX420" s="21"/>
      <c r="BY420" s="19">
        <v>120</v>
      </c>
      <c r="BZ420" s="20"/>
      <c r="CA420" s="21"/>
      <c r="CB420" s="19">
        <v>135</v>
      </c>
      <c r="CC420" s="20"/>
      <c r="CD420" s="21"/>
      <c r="CE420" s="19">
        <f>CB420</f>
        <v>135</v>
      </c>
      <c r="CF420" s="20"/>
      <c r="CG420" s="21"/>
      <c r="CH420" s="19">
        <v>145</v>
      </c>
      <c r="CI420" s="20"/>
      <c r="CJ420" s="21"/>
    </row>
    <row r="421" spans="1:57" ht="18" customHeight="1">
      <c r="A421" s="3"/>
      <c r="B421" s="3"/>
      <c r="C421" s="3"/>
      <c r="D421" s="3" t="s">
        <v>79</v>
      </c>
      <c r="E421" s="33">
        <v>0.65</v>
      </c>
      <c r="F421" s="33"/>
      <c r="G421" s="33"/>
      <c r="H421" s="3" t="s">
        <v>83</v>
      </c>
      <c r="I421" s="3" t="s">
        <v>85</v>
      </c>
      <c r="J421" s="126">
        <v>0</v>
      </c>
      <c r="K421" s="33"/>
      <c r="L421" s="3" t="s">
        <v>81</v>
      </c>
      <c r="M421" s="127">
        <f>IF((AG371+AG372)&gt;=0,C381+1,C384+1)</f>
        <v>6</v>
      </c>
      <c r="N421" s="33"/>
      <c r="O421" s="3" t="s">
        <v>161</v>
      </c>
      <c r="P421" s="3" t="s">
        <v>78</v>
      </c>
      <c r="Q421" s="33">
        <v>0.13</v>
      </c>
      <c r="R421" s="33"/>
      <c r="S421" s="33"/>
      <c r="T421" s="3" t="s">
        <v>83</v>
      </c>
      <c r="U421" s="3" t="s">
        <v>85</v>
      </c>
      <c r="V421" s="126">
        <v>0</v>
      </c>
      <c r="W421" s="33"/>
      <c r="X421" s="3" t="s">
        <v>81</v>
      </c>
      <c r="Y421" s="127">
        <f>M421</f>
        <v>6</v>
      </c>
      <c r="Z421" s="33"/>
      <c r="AA421" s="3" t="s">
        <v>89</v>
      </c>
      <c r="AB421" s="3" t="s">
        <v>78</v>
      </c>
      <c r="AC421" s="126">
        <v>1</v>
      </c>
      <c r="AD421" s="33"/>
      <c r="AE421" s="3" t="s">
        <v>79</v>
      </c>
      <c r="AF421" s="33">
        <v>1</v>
      </c>
      <c r="AG421" s="33"/>
      <c r="AH421" s="33"/>
      <c r="AI421" s="3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U421" s="5" t="s">
        <v>162</v>
      </c>
      <c r="AV421" s="5"/>
      <c r="AW421" s="5"/>
      <c r="AX421" s="5"/>
      <c r="AY421" s="5"/>
      <c r="AZ421" s="5"/>
      <c r="BA421" s="5"/>
      <c r="BB421" s="5"/>
      <c r="BC421" s="5"/>
      <c r="BD421" s="5"/>
      <c r="BE421" s="5"/>
    </row>
    <row r="422" spans="1:88" ht="18" customHeight="1">
      <c r="A422" s="3"/>
      <c r="B422" s="3"/>
      <c r="C422" s="3"/>
      <c r="D422" s="3" t="s">
        <v>163</v>
      </c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138"/>
      <c r="AU422" s="19">
        <f>IF(AG363&lt;=0.04,2,IF(AG363&lt;=0.075,3,4))</f>
        <v>2</v>
      </c>
      <c r="AV422" s="20"/>
      <c r="AW422" s="21"/>
      <c r="AX422" s="25" t="s">
        <v>4</v>
      </c>
      <c r="AY422" s="26"/>
      <c r="AZ422" s="27"/>
      <c r="BA422" s="25" t="s">
        <v>5</v>
      </c>
      <c r="BB422" s="26"/>
      <c r="BC422" s="27"/>
      <c r="BD422" s="25" t="s">
        <v>6</v>
      </c>
      <c r="BE422" s="26"/>
      <c r="BF422" s="27"/>
      <c r="BG422" s="25" t="s">
        <v>7</v>
      </c>
      <c r="BH422" s="26"/>
      <c r="BI422" s="27"/>
      <c r="BJ422" s="25" t="s">
        <v>88</v>
      </c>
      <c r="BK422" s="26"/>
      <c r="BL422" s="27"/>
      <c r="BM422" s="131" t="s">
        <v>8</v>
      </c>
      <c r="BN422" s="132"/>
      <c r="BO422" s="133"/>
      <c r="BP422" s="25" t="s">
        <v>9</v>
      </c>
      <c r="BQ422" s="26"/>
      <c r="BR422" s="27"/>
      <c r="BS422" s="25" t="s">
        <v>10</v>
      </c>
      <c r="BT422" s="26"/>
      <c r="BU422" s="27"/>
      <c r="BV422" s="25" t="s">
        <v>11</v>
      </c>
      <c r="BW422" s="26"/>
      <c r="BX422" s="27"/>
      <c r="BY422" s="131" t="s">
        <v>12</v>
      </c>
      <c r="BZ422" s="132"/>
      <c r="CA422" s="133"/>
      <c r="CB422" s="25" t="s">
        <v>13</v>
      </c>
      <c r="CC422" s="26"/>
      <c r="CD422" s="27"/>
      <c r="CE422" s="25" t="s">
        <v>14</v>
      </c>
      <c r="CF422" s="26"/>
      <c r="CG422" s="27"/>
      <c r="CH422" s="131" t="s">
        <v>15</v>
      </c>
      <c r="CI422" s="132"/>
      <c r="CJ422" s="133"/>
    </row>
    <row r="423" spans="1:88" ht="18" customHeight="1">
      <c r="A423" s="3"/>
      <c r="B423" s="3"/>
      <c r="C423" s="3"/>
      <c r="D423" s="3" t="s">
        <v>18</v>
      </c>
      <c r="E423" s="3"/>
      <c r="F423" s="3"/>
      <c r="G423" s="3"/>
      <c r="H423" s="3" t="s">
        <v>19</v>
      </c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138"/>
      <c r="AU423" s="19">
        <v>40</v>
      </c>
      <c r="AV423" s="20"/>
      <c r="AW423" s="21"/>
      <c r="AX423" s="19">
        <v>140</v>
      </c>
      <c r="AY423" s="20"/>
      <c r="AZ423" s="21"/>
      <c r="BA423" s="19">
        <f>AX423</f>
        <v>140</v>
      </c>
      <c r="BB423" s="20"/>
      <c r="BC423" s="21"/>
      <c r="BD423" s="19">
        <f>AX423</f>
        <v>140</v>
      </c>
      <c r="BE423" s="20"/>
      <c r="BF423" s="21"/>
      <c r="BG423" s="19">
        <v>140</v>
      </c>
      <c r="BH423" s="20"/>
      <c r="BI423" s="21"/>
      <c r="BJ423" s="19">
        <v>185</v>
      </c>
      <c r="BK423" s="20"/>
      <c r="BL423" s="21"/>
      <c r="BM423" s="19">
        <f>BJ423</f>
        <v>185</v>
      </c>
      <c r="BN423" s="20"/>
      <c r="BO423" s="21"/>
      <c r="BP423" s="19">
        <v>210</v>
      </c>
      <c r="BQ423" s="20"/>
      <c r="BR423" s="21"/>
      <c r="BS423" s="19">
        <f>BP423</f>
        <v>210</v>
      </c>
      <c r="BT423" s="20"/>
      <c r="BU423" s="21"/>
      <c r="BV423" s="19">
        <f>BP423</f>
        <v>210</v>
      </c>
      <c r="BW423" s="20"/>
      <c r="BX423" s="21"/>
      <c r="BY423" s="19">
        <v>210</v>
      </c>
      <c r="BZ423" s="20"/>
      <c r="CA423" s="21"/>
      <c r="CB423" s="19">
        <v>255</v>
      </c>
      <c r="CC423" s="20"/>
      <c r="CD423" s="21"/>
      <c r="CE423" s="19">
        <f>CB423</f>
        <v>255</v>
      </c>
      <c r="CF423" s="20"/>
      <c r="CG423" s="21"/>
      <c r="CH423" s="19">
        <f>CE423</f>
        <v>255</v>
      </c>
      <c r="CI423" s="20"/>
      <c r="CJ423" s="21"/>
    </row>
    <row r="424" spans="1:88" ht="18" customHeight="1">
      <c r="A424" s="3"/>
      <c r="B424" s="3"/>
      <c r="C424" s="3"/>
      <c r="D424" s="3"/>
      <c r="E424" s="3"/>
      <c r="F424" s="3"/>
      <c r="G424" s="3"/>
      <c r="H424" s="3" t="s">
        <v>20</v>
      </c>
      <c r="I424" s="3"/>
      <c r="J424" s="3"/>
      <c r="K424" s="3"/>
      <c r="L424" s="3"/>
      <c r="M424" s="3"/>
      <c r="N424" s="3"/>
      <c r="O424" s="3"/>
      <c r="P424" s="3"/>
      <c r="Q424" s="3" t="s">
        <v>21</v>
      </c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138"/>
      <c r="AU424" s="135" t="s">
        <v>16</v>
      </c>
      <c r="AV424" s="136"/>
      <c r="AW424" s="137"/>
      <c r="AX424" s="19">
        <v>125</v>
      </c>
      <c r="AY424" s="20"/>
      <c r="AZ424" s="21"/>
      <c r="BA424" s="19">
        <f>AX424</f>
        <v>125</v>
      </c>
      <c r="BB424" s="20"/>
      <c r="BC424" s="21"/>
      <c r="BD424" s="19">
        <f>AX424</f>
        <v>125</v>
      </c>
      <c r="BE424" s="20"/>
      <c r="BF424" s="21"/>
      <c r="BG424" s="19">
        <v>140</v>
      </c>
      <c r="BH424" s="20"/>
      <c r="BI424" s="21"/>
      <c r="BJ424" s="19">
        <v>175</v>
      </c>
      <c r="BK424" s="20"/>
      <c r="BL424" s="21"/>
      <c r="BM424" s="19">
        <f>BM423</f>
        <v>185</v>
      </c>
      <c r="BN424" s="20"/>
      <c r="BO424" s="21"/>
      <c r="BP424" s="19">
        <v>195</v>
      </c>
      <c r="BQ424" s="20"/>
      <c r="BR424" s="21"/>
      <c r="BS424" s="19">
        <f>BP424</f>
        <v>195</v>
      </c>
      <c r="BT424" s="20"/>
      <c r="BU424" s="21"/>
      <c r="BV424" s="19">
        <f>BP424</f>
        <v>195</v>
      </c>
      <c r="BW424" s="20"/>
      <c r="BX424" s="21"/>
      <c r="BY424" s="19">
        <v>210</v>
      </c>
      <c r="BZ424" s="20"/>
      <c r="CA424" s="21"/>
      <c r="CB424" s="19">
        <v>245</v>
      </c>
      <c r="CC424" s="20"/>
      <c r="CD424" s="21"/>
      <c r="CE424" s="19">
        <f>CB424</f>
        <v>245</v>
      </c>
      <c r="CF424" s="20"/>
      <c r="CG424" s="21"/>
      <c r="CH424" s="19">
        <f>CH423</f>
        <v>255</v>
      </c>
      <c r="CI424" s="20"/>
      <c r="CJ424" s="21"/>
    </row>
    <row r="425" spans="1:88" ht="18" customHeight="1">
      <c r="A425" s="3"/>
      <c r="B425" s="3"/>
      <c r="C425" s="3"/>
      <c r="D425" s="3"/>
      <c r="E425" s="3"/>
      <c r="F425" s="3"/>
      <c r="G425" s="3"/>
      <c r="H425" s="3" t="s">
        <v>164</v>
      </c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U425" s="135" t="s">
        <v>17</v>
      </c>
      <c r="AV425" s="136"/>
      <c r="AW425" s="137"/>
      <c r="AX425" s="19">
        <v>125</v>
      </c>
      <c r="AY425" s="20"/>
      <c r="AZ425" s="21"/>
      <c r="BA425" s="19">
        <f>AX425</f>
        <v>125</v>
      </c>
      <c r="BB425" s="20"/>
      <c r="BC425" s="21"/>
      <c r="BD425" s="19">
        <f>AX425</f>
        <v>125</v>
      </c>
      <c r="BE425" s="20"/>
      <c r="BF425" s="21"/>
      <c r="BG425" s="19">
        <v>140</v>
      </c>
      <c r="BH425" s="20"/>
      <c r="BI425" s="21"/>
      <c r="BJ425" s="19">
        <v>175</v>
      </c>
      <c r="BK425" s="20"/>
      <c r="BL425" s="21"/>
      <c r="BM425" s="19">
        <f>BM423</f>
        <v>185</v>
      </c>
      <c r="BN425" s="20"/>
      <c r="BO425" s="21"/>
      <c r="BP425" s="19">
        <v>190</v>
      </c>
      <c r="BQ425" s="20"/>
      <c r="BR425" s="21"/>
      <c r="BS425" s="19">
        <f>BP425</f>
        <v>190</v>
      </c>
      <c r="BT425" s="20"/>
      <c r="BU425" s="21"/>
      <c r="BV425" s="19">
        <f>BP425</f>
        <v>190</v>
      </c>
      <c r="BW425" s="20"/>
      <c r="BX425" s="21"/>
      <c r="BY425" s="19">
        <v>210</v>
      </c>
      <c r="BZ425" s="20"/>
      <c r="CA425" s="21"/>
      <c r="CB425" s="19">
        <v>240</v>
      </c>
      <c r="CC425" s="20"/>
      <c r="CD425" s="21"/>
      <c r="CE425" s="19">
        <f>CB425</f>
        <v>240</v>
      </c>
      <c r="CF425" s="20"/>
      <c r="CG425" s="21"/>
      <c r="CH425" s="19">
        <f>CH423</f>
        <v>255</v>
      </c>
      <c r="CI425" s="20"/>
      <c r="CJ425" s="21"/>
    </row>
    <row r="426" spans="1:57" ht="18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 t="s">
        <v>165</v>
      </c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6"/>
      <c r="AU426" s="5" t="s">
        <v>166</v>
      </c>
      <c r="AV426" s="5"/>
      <c r="AW426" s="5"/>
      <c r="AX426" s="5"/>
      <c r="AY426" s="5"/>
      <c r="AZ426" s="5"/>
      <c r="BA426" s="5"/>
      <c r="BB426" s="5"/>
      <c r="BC426" s="5"/>
      <c r="BD426" s="5"/>
      <c r="BE426" s="5"/>
    </row>
    <row r="427" spans="1:88" ht="18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7"/>
      <c r="AU427" s="19">
        <f>IF(AG362&lt;=0.04,2,IF(AG362&lt;=0.075,3,4))</f>
        <v>2</v>
      </c>
      <c r="AV427" s="20"/>
      <c r="AW427" s="21"/>
      <c r="AX427" s="25" t="s">
        <v>4</v>
      </c>
      <c r="AY427" s="26"/>
      <c r="AZ427" s="27"/>
      <c r="BA427" s="25" t="s">
        <v>5</v>
      </c>
      <c r="BB427" s="26"/>
      <c r="BC427" s="27"/>
      <c r="BD427" s="25" t="s">
        <v>6</v>
      </c>
      <c r="BE427" s="26"/>
      <c r="BF427" s="27"/>
      <c r="BG427" s="25" t="s">
        <v>7</v>
      </c>
      <c r="BH427" s="26"/>
      <c r="BI427" s="27"/>
      <c r="BJ427" s="25" t="s">
        <v>88</v>
      </c>
      <c r="BK427" s="26"/>
      <c r="BL427" s="27"/>
      <c r="BM427" s="131" t="s">
        <v>8</v>
      </c>
      <c r="BN427" s="132"/>
      <c r="BO427" s="133"/>
      <c r="BP427" s="25" t="s">
        <v>9</v>
      </c>
      <c r="BQ427" s="26"/>
      <c r="BR427" s="27"/>
      <c r="BS427" s="25" t="s">
        <v>10</v>
      </c>
      <c r="BT427" s="26"/>
      <c r="BU427" s="27"/>
      <c r="BV427" s="25" t="s">
        <v>11</v>
      </c>
      <c r="BW427" s="26"/>
      <c r="BX427" s="27"/>
      <c r="BY427" s="131" t="s">
        <v>12</v>
      </c>
      <c r="BZ427" s="132"/>
      <c r="CA427" s="133"/>
      <c r="CB427" s="25" t="s">
        <v>13</v>
      </c>
      <c r="CC427" s="26"/>
      <c r="CD427" s="27"/>
      <c r="CE427" s="25" t="s">
        <v>14</v>
      </c>
      <c r="CF427" s="26"/>
      <c r="CG427" s="27"/>
      <c r="CH427" s="131" t="s">
        <v>15</v>
      </c>
      <c r="CI427" s="132"/>
      <c r="CJ427" s="133"/>
    </row>
    <row r="428" spans="1:88" ht="18" customHeight="1">
      <c r="A428" s="3"/>
      <c r="B428" s="3"/>
      <c r="C428" s="3" t="s">
        <v>22</v>
      </c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 t="s">
        <v>85</v>
      </c>
      <c r="S428" s="33" t="str">
        <f>AG353</f>
        <v>SMA490</v>
      </c>
      <c r="T428" s="33"/>
      <c r="U428" s="33"/>
      <c r="V428" s="33"/>
      <c r="W428" s="3" t="s">
        <v>23</v>
      </c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139"/>
      <c r="AU428" s="19">
        <v>40</v>
      </c>
      <c r="AV428" s="20"/>
      <c r="AW428" s="21"/>
      <c r="AX428" s="19">
        <v>140</v>
      </c>
      <c r="AY428" s="20"/>
      <c r="AZ428" s="21"/>
      <c r="BA428" s="19">
        <f>AX428</f>
        <v>140</v>
      </c>
      <c r="BB428" s="20"/>
      <c r="BC428" s="21"/>
      <c r="BD428" s="19">
        <f>AX428</f>
        <v>140</v>
      </c>
      <c r="BE428" s="20"/>
      <c r="BF428" s="21"/>
      <c r="BG428" s="19">
        <v>140</v>
      </c>
      <c r="BH428" s="20"/>
      <c r="BI428" s="21"/>
      <c r="BJ428" s="19">
        <v>185</v>
      </c>
      <c r="BK428" s="20"/>
      <c r="BL428" s="21"/>
      <c r="BM428" s="19">
        <f>BJ428</f>
        <v>185</v>
      </c>
      <c r="BN428" s="20"/>
      <c r="BO428" s="21"/>
      <c r="BP428" s="19">
        <v>210</v>
      </c>
      <c r="BQ428" s="20"/>
      <c r="BR428" s="21"/>
      <c r="BS428" s="19">
        <f>BP428</f>
        <v>210</v>
      </c>
      <c r="BT428" s="20"/>
      <c r="BU428" s="21"/>
      <c r="BV428" s="19">
        <f>BP428</f>
        <v>210</v>
      </c>
      <c r="BW428" s="20"/>
      <c r="BX428" s="21"/>
      <c r="BY428" s="19">
        <v>210</v>
      </c>
      <c r="BZ428" s="20"/>
      <c r="CA428" s="21"/>
      <c r="CB428" s="19">
        <v>255</v>
      </c>
      <c r="CC428" s="20"/>
      <c r="CD428" s="21"/>
      <c r="CE428" s="19">
        <f>CB428</f>
        <v>255</v>
      </c>
      <c r="CF428" s="20"/>
      <c r="CG428" s="21"/>
      <c r="CH428" s="19">
        <f>CE428</f>
        <v>255</v>
      </c>
      <c r="CI428" s="20"/>
      <c r="CJ428" s="21"/>
    </row>
    <row r="429" spans="1:88" ht="18" customHeight="1">
      <c r="A429" s="3"/>
      <c r="B429" s="3"/>
      <c r="C429" s="3"/>
      <c r="D429" s="3"/>
      <c r="E429" s="3" t="s">
        <v>90</v>
      </c>
      <c r="F429" s="3"/>
      <c r="G429" s="3"/>
      <c r="H429" s="126">
        <f>HLOOKUP(S428,AX422:CJ425,AU422,FALSE)</f>
        <v>210</v>
      </c>
      <c r="I429" s="126"/>
      <c r="J429" s="126"/>
      <c r="K429" s="126"/>
      <c r="L429" s="3" t="s">
        <v>101</v>
      </c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U429" s="135" t="s">
        <v>16</v>
      </c>
      <c r="AV429" s="136"/>
      <c r="AW429" s="137"/>
      <c r="AX429" s="19">
        <v>125</v>
      </c>
      <c r="AY429" s="20"/>
      <c r="AZ429" s="21"/>
      <c r="BA429" s="19">
        <f>AX429</f>
        <v>125</v>
      </c>
      <c r="BB429" s="20"/>
      <c r="BC429" s="21"/>
      <c r="BD429" s="19">
        <f>AX429</f>
        <v>125</v>
      </c>
      <c r="BE429" s="20"/>
      <c r="BF429" s="21"/>
      <c r="BG429" s="19">
        <v>140</v>
      </c>
      <c r="BH429" s="20"/>
      <c r="BI429" s="21"/>
      <c r="BJ429" s="19">
        <v>175</v>
      </c>
      <c r="BK429" s="20"/>
      <c r="BL429" s="21"/>
      <c r="BM429" s="19">
        <f>BM428</f>
        <v>185</v>
      </c>
      <c r="BN429" s="20"/>
      <c r="BO429" s="21"/>
      <c r="BP429" s="19">
        <v>195</v>
      </c>
      <c r="BQ429" s="20"/>
      <c r="BR429" s="21"/>
      <c r="BS429" s="19">
        <f>BP429</f>
        <v>195</v>
      </c>
      <c r="BT429" s="20"/>
      <c r="BU429" s="21"/>
      <c r="BV429" s="19">
        <f>BP429</f>
        <v>195</v>
      </c>
      <c r="BW429" s="20"/>
      <c r="BX429" s="21"/>
      <c r="BY429" s="19">
        <v>210</v>
      </c>
      <c r="BZ429" s="20"/>
      <c r="CA429" s="21"/>
      <c r="CB429" s="19">
        <v>245</v>
      </c>
      <c r="CC429" s="20"/>
      <c r="CD429" s="21"/>
      <c r="CE429" s="19">
        <f>CB429</f>
        <v>245</v>
      </c>
      <c r="CF429" s="20"/>
      <c r="CG429" s="21"/>
      <c r="CH429" s="19">
        <f>CH428</f>
        <v>255</v>
      </c>
      <c r="CI429" s="20"/>
      <c r="CJ429" s="21"/>
    </row>
    <row r="430" spans="1:88" ht="18" customHeight="1">
      <c r="A430" s="3"/>
      <c r="B430" s="3"/>
      <c r="C430" s="3" t="s">
        <v>24</v>
      </c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 t="s">
        <v>85</v>
      </c>
      <c r="S430" s="33" t="str">
        <f>S428</f>
        <v>SMA490</v>
      </c>
      <c r="T430" s="33"/>
      <c r="U430" s="33"/>
      <c r="V430" s="33"/>
      <c r="W430" s="3" t="s">
        <v>23</v>
      </c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U430" s="135" t="s">
        <v>17</v>
      </c>
      <c r="AV430" s="136"/>
      <c r="AW430" s="137"/>
      <c r="AX430" s="19">
        <v>125</v>
      </c>
      <c r="AY430" s="20"/>
      <c r="AZ430" s="21"/>
      <c r="BA430" s="19">
        <f>AX430</f>
        <v>125</v>
      </c>
      <c r="BB430" s="20"/>
      <c r="BC430" s="21"/>
      <c r="BD430" s="19">
        <f>AX430</f>
        <v>125</v>
      </c>
      <c r="BE430" s="20"/>
      <c r="BF430" s="21"/>
      <c r="BG430" s="19">
        <v>140</v>
      </c>
      <c r="BH430" s="20"/>
      <c r="BI430" s="21"/>
      <c r="BJ430" s="19">
        <v>175</v>
      </c>
      <c r="BK430" s="20"/>
      <c r="BL430" s="21"/>
      <c r="BM430" s="19">
        <f>BM428</f>
        <v>185</v>
      </c>
      <c r="BN430" s="20"/>
      <c r="BO430" s="21"/>
      <c r="BP430" s="19">
        <v>190</v>
      </c>
      <c r="BQ430" s="20"/>
      <c r="BR430" s="21"/>
      <c r="BS430" s="19">
        <f>BP430</f>
        <v>190</v>
      </c>
      <c r="BT430" s="20"/>
      <c r="BU430" s="21"/>
      <c r="BV430" s="19">
        <f>BP430</f>
        <v>190</v>
      </c>
      <c r="BW430" s="20"/>
      <c r="BX430" s="21"/>
      <c r="BY430" s="19">
        <v>210</v>
      </c>
      <c r="BZ430" s="20"/>
      <c r="CA430" s="21"/>
      <c r="CB430" s="19">
        <v>240</v>
      </c>
      <c r="CC430" s="20"/>
      <c r="CD430" s="21"/>
      <c r="CE430" s="19">
        <f>CB430</f>
        <v>240</v>
      </c>
      <c r="CF430" s="20"/>
      <c r="CG430" s="21"/>
      <c r="CH430" s="19">
        <f>CH428</f>
        <v>255</v>
      </c>
      <c r="CI430" s="20"/>
      <c r="CJ430" s="21"/>
    </row>
    <row r="431" spans="1:58" ht="18" customHeight="1">
      <c r="A431" s="3"/>
      <c r="B431" s="3"/>
      <c r="C431" s="3"/>
      <c r="D431" s="3"/>
      <c r="E431" s="33" t="s">
        <v>167</v>
      </c>
      <c r="F431" s="33"/>
      <c r="G431" s="33"/>
      <c r="H431" s="33"/>
      <c r="I431" s="33"/>
      <c r="J431" s="140"/>
      <c r="K431" s="141" t="s">
        <v>91</v>
      </c>
      <c r="L431" s="141"/>
      <c r="M431" s="140"/>
      <c r="N431" s="140"/>
      <c r="O431" s="3"/>
      <c r="P431" s="33" t="s">
        <v>79</v>
      </c>
      <c r="Q431" s="3"/>
      <c r="R431" s="140"/>
      <c r="S431" s="140"/>
      <c r="T431" s="142">
        <f>(AG356+AM356)*1000</f>
        <v>2400</v>
      </c>
      <c r="U431" s="141"/>
      <c r="V431" s="141"/>
      <c r="W431" s="140"/>
      <c r="X431" s="140"/>
      <c r="Y431" s="140"/>
      <c r="Z431" s="140"/>
      <c r="AA431" s="33" t="s">
        <v>79</v>
      </c>
      <c r="AB431" s="33"/>
      <c r="AC431" s="126">
        <f>T431/(R432*U432*Y432)</f>
        <v>18.181818181818183</v>
      </c>
      <c r="AD431" s="126"/>
      <c r="AE431" s="126"/>
      <c r="AF431" s="33" t="s">
        <v>71</v>
      </c>
      <c r="AG431" s="3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U431" s="5" t="s">
        <v>168</v>
      </c>
      <c r="AV431" s="5"/>
      <c r="AW431" s="5"/>
      <c r="AX431" s="5"/>
      <c r="AY431" s="5"/>
      <c r="AZ431" s="5"/>
      <c r="BA431" s="8"/>
      <c r="BB431" s="8"/>
      <c r="BC431" s="8"/>
      <c r="BD431" s="8"/>
      <c r="BE431" s="8"/>
      <c r="BF431" s="3"/>
    </row>
    <row r="432" spans="1:88" ht="18" customHeight="1">
      <c r="A432" s="3"/>
      <c r="B432" s="3"/>
      <c r="C432" s="3"/>
      <c r="D432" s="3"/>
      <c r="E432" s="33"/>
      <c r="F432" s="33"/>
      <c r="G432" s="33"/>
      <c r="H432" s="33"/>
      <c r="I432" s="33"/>
      <c r="J432" s="143">
        <f>HLOOKUP(S430,AX432:CJ435,AU433,FALSE)</f>
        <v>22</v>
      </c>
      <c r="K432" s="144"/>
      <c r="L432" s="3" t="s">
        <v>92</v>
      </c>
      <c r="M432" s="3"/>
      <c r="N432" s="3"/>
      <c r="O432" s="3"/>
      <c r="P432" s="33"/>
      <c r="Q432" s="3"/>
      <c r="R432" s="143">
        <f>J432</f>
        <v>22</v>
      </c>
      <c r="S432" s="144"/>
      <c r="T432" s="3" t="s">
        <v>83</v>
      </c>
      <c r="U432" s="144">
        <f>AF421</f>
        <v>1</v>
      </c>
      <c r="V432" s="144"/>
      <c r="W432" s="144"/>
      <c r="X432" s="3" t="s">
        <v>83</v>
      </c>
      <c r="Y432" s="143">
        <f>C381+1</f>
        <v>6</v>
      </c>
      <c r="Z432" s="144"/>
      <c r="AA432" s="33"/>
      <c r="AB432" s="33"/>
      <c r="AC432" s="126"/>
      <c r="AD432" s="126"/>
      <c r="AE432" s="126"/>
      <c r="AF432" s="33"/>
      <c r="AG432" s="3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U432" s="19">
        <f>AU427</f>
        <v>2</v>
      </c>
      <c r="AV432" s="20"/>
      <c r="AW432" s="21"/>
      <c r="AX432" s="25" t="s">
        <v>4</v>
      </c>
      <c r="AY432" s="26"/>
      <c r="AZ432" s="27"/>
      <c r="BA432" s="28" t="s">
        <v>5</v>
      </c>
      <c r="BB432" s="29"/>
      <c r="BC432" s="30"/>
      <c r="BD432" s="28" t="s">
        <v>6</v>
      </c>
      <c r="BE432" s="29"/>
      <c r="BF432" s="30"/>
      <c r="BG432" s="25" t="s">
        <v>7</v>
      </c>
      <c r="BH432" s="26"/>
      <c r="BI432" s="27"/>
      <c r="BJ432" s="25" t="s">
        <v>88</v>
      </c>
      <c r="BK432" s="26"/>
      <c r="BL432" s="27"/>
      <c r="BM432" s="131" t="s">
        <v>8</v>
      </c>
      <c r="BN432" s="132"/>
      <c r="BO432" s="133"/>
      <c r="BP432" s="25" t="s">
        <v>9</v>
      </c>
      <c r="BQ432" s="26"/>
      <c r="BR432" s="27"/>
      <c r="BS432" s="25" t="s">
        <v>10</v>
      </c>
      <c r="BT432" s="26"/>
      <c r="BU432" s="27"/>
      <c r="BV432" s="25" t="s">
        <v>11</v>
      </c>
      <c r="BW432" s="26"/>
      <c r="BX432" s="27"/>
      <c r="BY432" s="131" t="s">
        <v>12</v>
      </c>
      <c r="BZ432" s="132"/>
      <c r="CA432" s="133"/>
      <c r="CB432" s="25" t="s">
        <v>13</v>
      </c>
      <c r="CC432" s="26"/>
      <c r="CD432" s="27"/>
      <c r="CE432" s="25" t="s">
        <v>14</v>
      </c>
      <c r="CF432" s="26"/>
      <c r="CG432" s="27"/>
      <c r="CH432" s="131" t="s">
        <v>15</v>
      </c>
      <c r="CI432" s="132"/>
      <c r="CJ432" s="133"/>
    </row>
    <row r="433" spans="1:88" ht="18" customHeight="1">
      <c r="A433" s="3"/>
      <c r="B433" s="3"/>
      <c r="C433" s="3"/>
      <c r="D433" s="3"/>
      <c r="E433" s="3"/>
      <c r="F433" s="3"/>
      <c r="G433" s="3" t="s">
        <v>25</v>
      </c>
      <c r="H433" s="3"/>
      <c r="I433" s="3"/>
      <c r="J433" s="3"/>
      <c r="K433" s="3"/>
      <c r="L433" s="3"/>
      <c r="M433" s="3"/>
      <c r="N433" s="3"/>
      <c r="O433" s="65">
        <f>HLOOKUP(S430,AX427:CJ430,AU427,FALSE)</f>
        <v>210</v>
      </c>
      <c r="P433" s="65"/>
      <c r="Q433" s="65"/>
      <c r="R433" s="65"/>
      <c r="S433" s="3" t="s">
        <v>101</v>
      </c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U433" s="19">
        <v>2</v>
      </c>
      <c r="AV433" s="20"/>
      <c r="AW433" s="21"/>
      <c r="AX433" s="16">
        <v>28</v>
      </c>
      <c r="AY433" s="16"/>
      <c r="AZ433" s="16"/>
      <c r="BA433" s="18">
        <f>AX433</f>
        <v>28</v>
      </c>
      <c r="BB433" s="18"/>
      <c r="BC433" s="18"/>
      <c r="BD433" s="18">
        <f>AX433</f>
        <v>28</v>
      </c>
      <c r="BE433" s="18"/>
      <c r="BF433" s="18"/>
      <c r="BG433" s="16">
        <f>BA433</f>
        <v>28</v>
      </c>
      <c r="BH433" s="16"/>
      <c r="BI433" s="16"/>
      <c r="BJ433" s="17">
        <v>24</v>
      </c>
      <c r="BK433" s="17"/>
      <c r="BL433" s="17"/>
      <c r="BM433" s="17">
        <f>BJ433</f>
        <v>24</v>
      </c>
      <c r="BN433" s="17"/>
      <c r="BO433" s="17"/>
      <c r="BP433" s="17">
        <v>22</v>
      </c>
      <c r="BQ433" s="17"/>
      <c r="BR433" s="17"/>
      <c r="BS433" s="17">
        <f>BP433</f>
        <v>22</v>
      </c>
      <c r="BT433" s="17"/>
      <c r="BU433" s="17"/>
      <c r="BV433" s="17">
        <f>BP433</f>
        <v>22</v>
      </c>
      <c r="BW433" s="17"/>
      <c r="BX433" s="17"/>
      <c r="BY433" s="16">
        <f>BP433</f>
        <v>22</v>
      </c>
      <c r="BZ433" s="16"/>
      <c r="CA433" s="16"/>
      <c r="CB433" s="16">
        <v>22</v>
      </c>
      <c r="CC433" s="16"/>
      <c r="CD433" s="16"/>
      <c r="CE433" s="16">
        <f>CB433</f>
        <v>22</v>
      </c>
      <c r="CF433" s="16"/>
      <c r="CG433" s="16"/>
      <c r="CH433" s="16">
        <f>CB433</f>
        <v>22</v>
      </c>
      <c r="CI433" s="16"/>
      <c r="CJ433" s="16"/>
    </row>
    <row r="434" spans="1:88" ht="18" customHeight="1">
      <c r="A434" s="3"/>
      <c r="B434" s="3"/>
      <c r="C434" s="3"/>
      <c r="D434" s="3"/>
      <c r="E434" s="140"/>
      <c r="F434" s="141" t="s">
        <v>91</v>
      </c>
      <c r="G434" s="141"/>
      <c r="H434" s="140"/>
      <c r="I434" s="3"/>
      <c r="J434" s="33" t="s">
        <v>93</v>
      </c>
      <c r="K434" s="33" t="s">
        <v>167</v>
      </c>
      <c r="L434" s="33"/>
      <c r="M434" s="33"/>
      <c r="N434" s="33"/>
      <c r="O434" s="33"/>
      <c r="P434" s="140"/>
      <c r="Q434" s="141" t="s">
        <v>91</v>
      </c>
      <c r="R434" s="141"/>
      <c r="S434" s="140"/>
      <c r="T434" s="3"/>
      <c r="U434" s="33" t="s">
        <v>79</v>
      </c>
      <c r="V434" s="140"/>
      <c r="W434" s="140"/>
      <c r="X434" s="142">
        <f>(AG356+AM356)*1000</f>
        <v>2400</v>
      </c>
      <c r="Y434" s="141"/>
      <c r="Z434" s="141"/>
      <c r="AA434" s="140"/>
      <c r="AB434" s="140"/>
      <c r="AC434" s="140"/>
      <c r="AD434" s="140"/>
      <c r="AE434" s="33" t="s">
        <v>79</v>
      </c>
      <c r="AF434" s="126">
        <f>X434/(V435*Y435*AC435)</f>
        <v>8.695652173913043</v>
      </c>
      <c r="AG434" s="126"/>
      <c r="AH434" s="126"/>
      <c r="AI434" s="33" t="s">
        <v>71</v>
      </c>
      <c r="AJ434" s="33"/>
      <c r="AK434" s="3"/>
      <c r="AL434" s="3"/>
      <c r="AM434" s="3"/>
      <c r="AN434" s="3"/>
      <c r="AO434" s="3"/>
      <c r="AP434" s="3"/>
      <c r="AQ434" s="3"/>
      <c r="AR434" s="3"/>
      <c r="AS434" s="3"/>
      <c r="AU434" s="19">
        <v>3</v>
      </c>
      <c r="AV434" s="20"/>
      <c r="AW434" s="21"/>
      <c r="AX434" s="22">
        <f>IF(AU432=2,2.6,2.1)</f>
        <v>2.6</v>
      </c>
      <c r="AY434" s="22"/>
      <c r="AZ434" s="22"/>
      <c r="BA434" s="24">
        <f>AX434</f>
        <v>2.6</v>
      </c>
      <c r="BB434" s="24"/>
      <c r="BC434" s="24"/>
      <c r="BD434" s="24">
        <f>AX434</f>
        <v>2.6</v>
      </c>
      <c r="BE434" s="24"/>
      <c r="BF434" s="24"/>
      <c r="BG434" s="22">
        <f>BA434</f>
        <v>2.6</v>
      </c>
      <c r="BH434" s="22"/>
      <c r="BI434" s="22"/>
      <c r="BJ434" s="23">
        <f>IF(AU432=2,3.9,3.5)</f>
        <v>3.9</v>
      </c>
      <c r="BK434" s="23"/>
      <c r="BL434" s="23"/>
      <c r="BM434" s="23">
        <f>BJ434</f>
        <v>3.9</v>
      </c>
      <c r="BN434" s="23"/>
      <c r="BO434" s="23"/>
      <c r="BP434" s="23">
        <f>IF(AU432=2,4.6,IF(AU432=3,4,3.7))</f>
        <v>4.6</v>
      </c>
      <c r="BQ434" s="23"/>
      <c r="BR434" s="23"/>
      <c r="BS434" s="23">
        <f>BP434</f>
        <v>4.6</v>
      </c>
      <c r="BT434" s="23"/>
      <c r="BU434" s="23"/>
      <c r="BV434" s="23">
        <f>BP434</f>
        <v>4.6</v>
      </c>
      <c r="BW434" s="23"/>
      <c r="BX434" s="23"/>
      <c r="BY434" s="22">
        <f>BP434</f>
        <v>4.6</v>
      </c>
      <c r="BZ434" s="22"/>
      <c r="CA434" s="22"/>
      <c r="CB434" s="22">
        <f>IF(AU432=2,6.9,IF(AU432=3,6.2,6))</f>
        <v>6.9</v>
      </c>
      <c r="CC434" s="22"/>
      <c r="CD434" s="22"/>
      <c r="CE434" s="22">
        <f>CB434</f>
        <v>6.9</v>
      </c>
      <c r="CF434" s="22"/>
      <c r="CG434" s="22"/>
      <c r="CH434" s="22">
        <f>CB434</f>
        <v>6.9</v>
      </c>
      <c r="CI434" s="22"/>
      <c r="CJ434" s="22"/>
    </row>
    <row r="435" spans="1:88" ht="18" customHeight="1">
      <c r="A435" s="3"/>
      <c r="B435" s="3"/>
      <c r="C435" s="3"/>
      <c r="D435" s="3"/>
      <c r="E435" s="143">
        <f>HLOOKUP(S430,AX432:CJ435,AU433,FALSE)</f>
        <v>22</v>
      </c>
      <c r="F435" s="144"/>
      <c r="G435" s="3" t="s">
        <v>92</v>
      </c>
      <c r="H435" s="3"/>
      <c r="I435" s="3"/>
      <c r="J435" s="33"/>
      <c r="K435" s="33"/>
      <c r="L435" s="33"/>
      <c r="M435" s="33"/>
      <c r="N435" s="33"/>
      <c r="O435" s="33"/>
      <c r="P435" s="143">
        <f>HLOOKUP(S430,AX432:CJ435,AU435,FALSE)</f>
        <v>46</v>
      </c>
      <c r="Q435" s="144"/>
      <c r="R435" s="3" t="s">
        <v>92</v>
      </c>
      <c r="S435" s="3"/>
      <c r="T435" s="3"/>
      <c r="U435" s="33"/>
      <c r="V435" s="143">
        <f>P435</f>
        <v>46</v>
      </c>
      <c r="W435" s="144"/>
      <c r="X435" s="3" t="s">
        <v>83</v>
      </c>
      <c r="Y435" s="144">
        <f>AF421</f>
        <v>1</v>
      </c>
      <c r="Z435" s="144"/>
      <c r="AA435" s="144"/>
      <c r="AB435" s="3" t="s">
        <v>83</v>
      </c>
      <c r="AC435" s="143">
        <f>C381+1</f>
        <v>6</v>
      </c>
      <c r="AD435" s="144"/>
      <c r="AE435" s="33"/>
      <c r="AF435" s="126"/>
      <c r="AG435" s="126"/>
      <c r="AH435" s="126"/>
      <c r="AI435" s="33"/>
      <c r="AJ435" s="33"/>
      <c r="AK435" s="3"/>
      <c r="AL435" s="3"/>
      <c r="AM435" s="3"/>
      <c r="AN435" s="3"/>
      <c r="AO435" s="3"/>
      <c r="AP435" s="3"/>
      <c r="AQ435" s="3"/>
      <c r="AR435" s="3"/>
      <c r="AS435" s="3"/>
      <c r="AU435" s="19">
        <v>4</v>
      </c>
      <c r="AV435" s="20"/>
      <c r="AW435" s="21"/>
      <c r="AX435" s="16">
        <f>IF(AU432=2,56,58)</f>
        <v>56</v>
      </c>
      <c r="AY435" s="16"/>
      <c r="AZ435" s="16"/>
      <c r="BA435" s="18">
        <f>AX435</f>
        <v>56</v>
      </c>
      <c r="BB435" s="18"/>
      <c r="BC435" s="18"/>
      <c r="BD435" s="18">
        <f>AX435</f>
        <v>56</v>
      </c>
      <c r="BE435" s="18"/>
      <c r="BF435" s="18"/>
      <c r="BG435" s="16">
        <f>BA435</f>
        <v>56</v>
      </c>
      <c r="BH435" s="16"/>
      <c r="BI435" s="16"/>
      <c r="BJ435" s="17">
        <f>IF(AU432=2,48,50)</f>
        <v>48</v>
      </c>
      <c r="BK435" s="17"/>
      <c r="BL435" s="17"/>
      <c r="BM435" s="17">
        <f>BJ435</f>
        <v>48</v>
      </c>
      <c r="BN435" s="17"/>
      <c r="BO435" s="17"/>
      <c r="BP435" s="17">
        <f>IF(AU432=2,46,IF(AU432=3,46,48))</f>
        <v>46</v>
      </c>
      <c r="BQ435" s="17"/>
      <c r="BR435" s="17"/>
      <c r="BS435" s="17">
        <f>BP435</f>
        <v>46</v>
      </c>
      <c r="BT435" s="17"/>
      <c r="BU435" s="17"/>
      <c r="BV435" s="17">
        <f>BP435</f>
        <v>46</v>
      </c>
      <c r="BW435" s="17"/>
      <c r="BX435" s="17"/>
      <c r="BY435" s="16">
        <f>BP435</f>
        <v>46</v>
      </c>
      <c r="BZ435" s="16"/>
      <c r="CA435" s="16"/>
      <c r="CB435" s="16">
        <f>IF(AU432=2,40,IF(AU432=3,42,42))</f>
        <v>40</v>
      </c>
      <c r="CC435" s="16"/>
      <c r="CD435" s="16"/>
      <c r="CE435" s="16">
        <f>CB435</f>
        <v>40</v>
      </c>
      <c r="CF435" s="16"/>
      <c r="CG435" s="16"/>
      <c r="CH435" s="16">
        <f>CB435</f>
        <v>40</v>
      </c>
      <c r="CI435" s="16"/>
      <c r="CJ435" s="16"/>
    </row>
    <row r="436" spans="1:58" ht="18" customHeight="1">
      <c r="A436" s="3"/>
      <c r="B436" s="3"/>
      <c r="C436" s="3"/>
      <c r="D436" s="3"/>
      <c r="E436" s="3"/>
      <c r="F436" s="3"/>
      <c r="G436" s="3" t="s">
        <v>25</v>
      </c>
      <c r="H436" s="3"/>
      <c r="I436" s="3"/>
      <c r="J436" s="3"/>
      <c r="K436" s="3"/>
      <c r="L436" s="3"/>
      <c r="M436" s="3"/>
      <c r="N436" s="3"/>
      <c r="O436" s="127">
        <f>O433</f>
        <v>210</v>
      </c>
      <c r="P436" s="33"/>
      <c r="Q436" s="33"/>
      <c r="R436" s="3" t="s">
        <v>72</v>
      </c>
      <c r="S436" s="127">
        <f>HLOOKUP(S430,AX432:CJ435,AU434,FALSE)</f>
        <v>4.6</v>
      </c>
      <c r="T436" s="33"/>
      <c r="U436" s="3" t="s">
        <v>85</v>
      </c>
      <c r="V436" s="3" t="s">
        <v>94</v>
      </c>
      <c r="W436" s="3"/>
      <c r="X436" s="3"/>
      <c r="Y436" s="3"/>
      <c r="Z436" s="3"/>
      <c r="AA436" s="3"/>
      <c r="AB436" s="145">
        <f>E435</f>
        <v>22</v>
      </c>
      <c r="AC436" s="1"/>
      <c r="AD436" s="3" t="s">
        <v>89</v>
      </c>
      <c r="AE436" s="3" t="s">
        <v>79</v>
      </c>
      <c r="AF436" s="65">
        <f>ROUND(O436-S436*(X434/(AG362*1000*AF421*(C381+1))-AB436),3)</f>
        <v>223.581</v>
      </c>
      <c r="AG436" s="65"/>
      <c r="AH436" s="65"/>
      <c r="AI436" s="65"/>
      <c r="AJ436" s="3" t="s">
        <v>101</v>
      </c>
      <c r="AK436" s="3"/>
      <c r="AL436" s="3"/>
      <c r="AM436" s="3"/>
      <c r="AN436" s="3"/>
      <c r="AO436" s="3"/>
      <c r="AP436" s="3"/>
      <c r="AQ436" s="3"/>
      <c r="AR436" s="3"/>
      <c r="AS436" s="3"/>
      <c r="BA436" s="3"/>
      <c r="BB436" s="3"/>
      <c r="BC436" s="3"/>
      <c r="BD436" s="3"/>
      <c r="BE436" s="3"/>
      <c r="BF436" s="3"/>
    </row>
    <row r="437" spans="1:45" ht="18" customHeight="1">
      <c r="A437" s="3"/>
      <c r="B437" s="3"/>
      <c r="C437" s="3"/>
      <c r="D437" s="3"/>
      <c r="E437" s="140"/>
      <c r="F437" s="141" t="s">
        <v>91</v>
      </c>
      <c r="G437" s="141"/>
      <c r="H437" s="140"/>
      <c r="I437" s="3"/>
      <c r="J437" s="33" t="s">
        <v>93</v>
      </c>
      <c r="K437" s="33" t="s">
        <v>167</v>
      </c>
      <c r="L437" s="33"/>
      <c r="M437" s="33"/>
      <c r="N437" s="33"/>
      <c r="O437" s="33"/>
      <c r="P437" s="140"/>
      <c r="Q437" s="141" t="s">
        <v>91</v>
      </c>
      <c r="R437" s="141"/>
      <c r="S437" s="140"/>
      <c r="T437" s="3"/>
      <c r="U437" s="33" t="s">
        <v>79</v>
      </c>
      <c r="V437" s="140"/>
      <c r="W437" s="140"/>
      <c r="X437" s="142">
        <f>(AG356+AM356)*1000</f>
        <v>2400</v>
      </c>
      <c r="Y437" s="141"/>
      <c r="Z437" s="141"/>
      <c r="AA437" s="140"/>
      <c r="AB437" s="140"/>
      <c r="AC437" s="140"/>
      <c r="AD437" s="140"/>
      <c r="AE437" s="33" t="s">
        <v>79</v>
      </c>
      <c r="AF437" s="126">
        <f>X437/(V438*Y438*AC438)</f>
        <v>5</v>
      </c>
      <c r="AG437" s="126"/>
      <c r="AH437" s="126"/>
      <c r="AI437" s="33" t="s">
        <v>71</v>
      </c>
      <c r="AJ437" s="33"/>
      <c r="AK437" s="3"/>
      <c r="AL437" s="3"/>
      <c r="AM437" s="3"/>
      <c r="AN437" s="3"/>
      <c r="AO437" s="3"/>
      <c r="AP437" s="3"/>
      <c r="AQ437" s="3"/>
      <c r="AR437" s="3"/>
      <c r="AS437" s="3"/>
    </row>
    <row r="438" spans="1:45" ht="18" customHeight="1">
      <c r="A438" s="3"/>
      <c r="B438" s="3"/>
      <c r="C438" s="3"/>
      <c r="D438" s="3"/>
      <c r="E438" s="143">
        <f>P435</f>
        <v>46</v>
      </c>
      <c r="F438" s="144"/>
      <c r="G438" s="3" t="s">
        <v>92</v>
      </c>
      <c r="H438" s="3"/>
      <c r="I438" s="3"/>
      <c r="J438" s="33"/>
      <c r="K438" s="33"/>
      <c r="L438" s="33"/>
      <c r="M438" s="33"/>
      <c r="N438" s="33"/>
      <c r="O438" s="33"/>
      <c r="P438" s="143">
        <v>80</v>
      </c>
      <c r="Q438" s="144"/>
      <c r="R438" s="3" t="s">
        <v>92</v>
      </c>
      <c r="S438" s="3"/>
      <c r="T438" s="3"/>
      <c r="U438" s="33"/>
      <c r="V438" s="143">
        <f>P438</f>
        <v>80</v>
      </c>
      <c r="W438" s="144"/>
      <c r="X438" s="3" t="s">
        <v>83</v>
      </c>
      <c r="Y438" s="144">
        <f>AF421</f>
        <v>1</v>
      </c>
      <c r="Z438" s="144"/>
      <c r="AA438" s="144"/>
      <c r="AB438" s="3" t="s">
        <v>83</v>
      </c>
      <c r="AC438" s="143">
        <f>C381+1</f>
        <v>6</v>
      </c>
      <c r="AD438" s="144"/>
      <c r="AE438" s="33"/>
      <c r="AF438" s="126"/>
      <c r="AG438" s="126"/>
      <c r="AH438" s="126"/>
      <c r="AI438" s="33"/>
      <c r="AJ438" s="33"/>
      <c r="AK438" s="3"/>
      <c r="AL438" s="3"/>
      <c r="AM438" s="3"/>
      <c r="AN438" s="3"/>
      <c r="AO438" s="3"/>
      <c r="AP438" s="3"/>
      <c r="AQ438" s="3"/>
      <c r="AR438" s="3"/>
      <c r="AS438" s="3"/>
    </row>
    <row r="439" spans="1:47" ht="18" customHeight="1">
      <c r="A439" s="3"/>
      <c r="B439" s="3"/>
      <c r="C439" s="3"/>
      <c r="D439" s="3"/>
      <c r="E439" s="3"/>
      <c r="F439" s="3"/>
      <c r="G439" s="3" t="s">
        <v>25</v>
      </c>
      <c r="H439" s="3"/>
      <c r="I439" s="3"/>
      <c r="J439" s="3"/>
      <c r="K439" s="3"/>
      <c r="L439" s="3"/>
      <c r="M439" s="3"/>
      <c r="N439" s="127">
        <f>210000</f>
        <v>210000</v>
      </c>
      <c r="O439" s="127"/>
      <c r="P439" s="127"/>
      <c r="Q439" s="127"/>
      <c r="R439" s="3" t="s">
        <v>83</v>
      </c>
      <c r="S439" s="3" t="s">
        <v>95</v>
      </c>
      <c r="T439" s="3"/>
      <c r="U439" s="3"/>
      <c r="V439" s="3"/>
      <c r="W439" s="3"/>
      <c r="X439" s="3"/>
      <c r="Y439" s="3"/>
      <c r="Z439" s="3" t="s">
        <v>79</v>
      </c>
      <c r="AA439" s="33">
        <f>N439*(AG362*1000*Y438*AC438/X437)^2</f>
        <v>578.8124999999999</v>
      </c>
      <c r="AB439" s="33"/>
      <c r="AC439" s="33"/>
      <c r="AD439" s="33"/>
      <c r="AE439" s="3"/>
      <c r="AF439" s="3" t="s">
        <v>101</v>
      </c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U439" s="61"/>
    </row>
    <row r="440" spans="1:45" ht="18" customHeight="1">
      <c r="A440" s="3"/>
      <c r="B440" s="3"/>
      <c r="C440" s="3"/>
      <c r="D440" s="3"/>
      <c r="E440" s="3" t="s">
        <v>26</v>
      </c>
      <c r="F440" s="3"/>
      <c r="G440" s="3"/>
      <c r="H440" s="3"/>
      <c r="I440" s="3"/>
      <c r="J440" s="126">
        <f>AG362*1000</f>
        <v>21</v>
      </c>
      <c r="K440" s="126"/>
      <c r="L440" s="126"/>
      <c r="M440" s="2" t="s">
        <v>145</v>
      </c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</row>
    <row r="441" spans="1:45" ht="18" customHeight="1">
      <c r="A441" s="3"/>
      <c r="B441" s="3"/>
      <c r="C441" s="3"/>
      <c r="D441" s="3"/>
      <c r="E441" s="3" t="s">
        <v>27</v>
      </c>
      <c r="F441" s="3"/>
      <c r="G441" s="3"/>
      <c r="H441" s="3"/>
      <c r="I441" s="3"/>
      <c r="J441" s="3"/>
      <c r="K441" s="3"/>
      <c r="L441" s="33">
        <f>IF(J440&gt;=AC431,O433,IF(J440&gt;=AF434,AF436,IF(J440&gt;=AF437,AA439,"확인 요망")))</f>
        <v>210</v>
      </c>
      <c r="M441" s="33"/>
      <c r="N441" s="33"/>
      <c r="O441" s="33"/>
      <c r="P441" s="3" t="s">
        <v>101</v>
      </c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</row>
    <row r="442" spans="1:45" ht="18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</row>
    <row r="443" spans="1:45" ht="18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</row>
    <row r="444" spans="1:46" ht="18" customHeight="1">
      <c r="A444" s="3"/>
      <c r="B444" s="3"/>
      <c r="C444" s="146" t="s">
        <v>42</v>
      </c>
      <c r="D444" s="147"/>
      <c r="E444" s="147"/>
      <c r="F444" s="147"/>
      <c r="G444" s="147"/>
      <c r="H444" s="146" t="s">
        <v>43</v>
      </c>
      <c r="I444" s="147"/>
      <c r="J444" s="147"/>
      <c r="K444" s="147"/>
      <c r="L444" s="147"/>
      <c r="M444" s="147"/>
      <c r="N444" s="147"/>
      <c r="O444" s="147"/>
      <c r="P444" s="147"/>
      <c r="Q444" s="147"/>
      <c r="R444" s="147"/>
      <c r="S444" s="147"/>
      <c r="T444" s="147"/>
      <c r="U444" s="147"/>
      <c r="V444" s="147"/>
      <c r="W444" s="147"/>
      <c r="X444" s="147"/>
      <c r="Y444" s="147"/>
      <c r="Z444" s="147"/>
      <c r="AA444" s="147"/>
      <c r="AB444" s="147" t="s">
        <v>96</v>
      </c>
      <c r="AC444" s="147"/>
      <c r="AD444" s="147"/>
      <c r="AE444" s="147"/>
      <c r="AF444" s="147"/>
      <c r="AG444" s="147"/>
      <c r="AH444" s="147"/>
      <c r="AI444" s="147"/>
      <c r="AJ444" s="146" t="s">
        <v>44</v>
      </c>
      <c r="AK444" s="147"/>
      <c r="AL444" s="147"/>
      <c r="AM444" s="147"/>
      <c r="AN444" s="147"/>
      <c r="AO444" s="147"/>
      <c r="AP444" s="147"/>
      <c r="AQ444" s="147"/>
      <c r="AR444" s="148"/>
      <c r="AS444" s="148"/>
      <c r="AT444" s="139"/>
    </row>
    <row r="445" spans="1:46" ht="18" customHeight="1">
      <c r="A445" s="3"/>
      <c r="B445" s="3"/>
      <c r="C445" s="147"/>
      <c r="D445" s="147"/>
      <c r="E445" s="147"/>
      <c r="F445" s="147"/>
      <c r="G445" s="147"/>
      <c r="H445" s="146" t="s">
        <v>169</v>
      </c>
      <c r="I445" s="147"/>
      <c r="J445" s="147"/>
      <c r="K445" s="147"/>
      <c r="L445" s="147"/>
      <c r="M445" s="147"/>
      <c r="N445" s="147"/>
      <c r="O445" s="147"/>
      <c r="P445" s="147"/>
      <c r="Q445" s="147"/>
      <c r="R445" s="146" t="s">
        <v>170</v>
      </c>
      <c r="S445" s="147"/>
      <c r="T445" s="147"/>
      <c r="U445" s="147"/>
      <c r="V445" s="147"/>
      <c r="W445" s="147"/>
      <c r="X445" s="147"/>
      <c r="Y445" s="147"/>
      <c r="Z445" s="147"/>
      <c r="AA445" s="147"/>
      <c r="AB445" s="147"/>
      <c r="AC445" s="147"/>
      <c r="AD445" s="147"/>
      <c r="AE445" s="147"/>
      <c r="AF445" s="147"/>
      <c r="AG445" s="147"/>
      <c r="AH445" s="147"/>
      <c r="AI445" s="147"/>
      <c r="AJ445" s="146" t="s">
        <v>45</v>
      </c>
      <c r="AK445" s="147"/>
      <c r="AL445" s="147"/>
      <c r="AM445" s="147"/>
      <c r="AN445" s="147"/>
      <c r="AO445" s="147"/>
      <c r="AP445" s="147"/>
      <c r="AQ445" s="147"/>
      <c r="AR445" s="148"/>
      <c r="AS445" s="148"/>
      <c r="AT445" s="139"/>
    </row>
    <row r="446" spans="1:46" ht="18" customHeight="1">
      <c r="A446" s="3"/>
      <c r="B446" s="3"/>
      <c r="C446" s="147"/>
      <c r="D446" s="147"/>
      <c r="E446" s="147"/>
      <c r="F446" s="147"/>
      <c r="G446" s="147"/>
      <c r="H446" s="149" t="s">
        <v>46</v>
      </c>
      <c r="I446" s="81"/>
      <c r="J446" s="81"/>
      <c r="K446" s="81"/>
      <c r="L446" s="86"/>
      <c r="M446" s="149" t="s">
        <v>47</v>
      </c>
      <c r="N446" s="81"/>
      <c r="O446" s="81"/>
      <c r="P446" s="81"/>
      <c r="Q446" s="86"/>
      <c r="R446" s="149" t="s">
        <v>46</v>
      </c>
      <c r="S446" s="81"/>
      <c r="T446" s="81"/>
      <c r="U446" s="81"/>
      <c r="V446" s="86"/>
      <c r="W446" s="149" t="s">
        <v>47</v>
      </c>
      <c r="X446" s="81"/>
      <c r="Y446" s="81"/>
      <c r="Z446" s="81"/>
      <c r="AA446" s="86"/>
      <c r="AB446" s="146" t="s">
        <v>46</v>
      </c>
      <c r="AC446" s="147"/>
      <c r="AD446" s="147"/>
      <c r="AE446" s="147"/>
      <c r="AF446" s="146" t="s">
        <v>47</v>
      </c>
      <c r="AG446" s="147"/>
      <c r="AH446" s="147"/>
      <c r="AI446" s="147"/>
      <c r="AJ446" s="146" t="s">
        <v>46</v>
      </c>
      <c r="AK446" s="147"/>
      <c r="AL446" s="147"/>
      <c r="AM446" s="147"/>
      <c r="AN446" s="146" t="s">
        <v>47</v>
      </c>
      <c r="AO446" s="147"/>
      <c r="AP446" s="147"/>
      <c r="AQ446" s="147"/>
      <c r="AR446" s="148"/>
      <c r="AS446" s="148"/>
      <c r="AT446" s="139"/>
    </row>
    <row r="447" spans="1:47" ht="18" customHeight="1">
      <c r="A447" s="3"/>
      <c r="B447" s="3"/>
      <c r="C447" s="150">
        <v>1</v>
      </c>
      <c r="D447" s="150"/>
      <c r="E447" s="150"/>
      <c r="F447" s="150"/>
      <c r="G447" s="150"/>
      <c r="H447" s="147">
        <f>M407</f>
        <v>-11.758098544192315</v>
      </c>
      <c r="I447" s="147"/>
      <c r="J447" s="147"/>
      <c r="K447" s="147"/>
      <c r="L447" s="147"/>
      <c r="M447" s="147">
        <f>M408</f>
        <v>12.615509676585665</v>
      </c>
      <c r="N447" s="147"/>
      <c r="O447" s="147"/>
      <c r="P447" s="147"/>
      <c r="Q447" s="147"/>
      <c r="R447" s="147">
        <f>IF(H447&gt;=0,H429,L441)</f>
        <v>210</v>
      </c>
      <c r="S447" s="147"/>
      <c r="T447" s="147"/>
      <c r="U447" s="147"/>
      <c r="V447" s="147"/>
      <c r="W447" s="147">
        <f>IF(M447&gt;=0,H429,L441)</f>
        <v>210</v>
      </c>
      <c r="X447" s="147"/>
      <c r="Y447" s="147"/>
      <c r="Z447" s="147"/>
      <c r="AA447" s="147"/>
      <c r="AB447" s="147">
        <f>(H447/R447)^2</f>
        <v>0.0031349859722208037</v>
      </c>
      <c r="AC447" s="147"/>
      <c r="AD447" s="147"/>
      <c r="AE447" s="147"/>
      <c r="AF447" s="147">
        <f>(M447/W447)^2</f>
        <v>0.0036088681269847295</v>
      </c>
      <c r="AG447" s="147"/>
      <c r="AH447" s="147"/>
      <c r="AI447" s="147"/>
      <c r="AJ447" s="147">
        <f>(H447/R447)^2+(Z417/AJ417)^2</f>
        <v>0.03471713535418113</v>
      </c>
      <c r="AK447" s="147"/>
      <c r="AL447" s="147"/>
      <c r="AM447" s="147"/>
      <c r="AN447" s="147">
        <f>(M447/W447)^2+(Z417/AJ417)^2</f>
        <v>0.03519101750894506</v>
      </c>
      <c r="AO447" s="147"/>
      <c r="AP447" s="147"/>
      <c r="AQ447" s="147"/>
      <c r="AR447" s="148"/>
      <c r="AS447" s="148"/>
      <c r="AT447" s="139"/>
      <c r="AU447" s="151"/>
    </row>
    <row r="448" spans="1:46" ht="18" customHeight="1">
      <c r="A448" s="3"/>
      <c r="B448" s="3"/>
      <c r="C448" s="150" t="s">
        <v>61</v>
      </c>
      <c r="D448" s="150"/>
      <c r="E448" s="150"/>
      <c r="F448" s="150"/>
      <c r="G448" s="150"/>
      <c r="H448" s="147">
        <f>M407+N412</f>
        <v>-29.49769857894518</v>
      </c>
      <c r="I448" s="147"/>
      <c r="J448" s="147"/>
      <c r="K448" s="147"/>
      <c r="L448" s="147"/>
      <c r="M448" s="147">
        <f>M408+N413</f>
        <v>31.64869731794311</v>
      </c>
      <c r="N448" s="147"/>
      <c r="O448" s="147"/>
      <c r="P448" s="147"/>
      <c r="Q448" s="147"/>
      <c r="R448" s="147">
        <f>R447</f>
        <v>210</v>
      </c>
      <c r="S448" s="147"/>
      <c r="T448" s="147"/>
      <c r="U448" s="147"/>
      <c r="V448" s="147"/>
      <c r="W448" s="147">
        <f>W447</f>
        <v>210</v>
      </c>
      <c r="X448" s="147"/>
      <c r="Y448" s="147"/>
      <c r="Z448" s="147"/>
      <c r="AA448" s="147"/>
      <c r="AB448" s="147">
        <f>(H448/R448)^2</f>
        <v>0.019730481212115746</v>
      </c>
      <c r="AC448" s="147"/>
      <c r="AD448" s="147"/>
      <c r="AE448" s="147"/>
      <c r="AF448" s="147">
        <f>(M448/W448)^2</f>
        <v>0.02271292612069795</v>
      </c>
      <c r="AG448" s="147"/>
      <c r="AH448" s="147"/>
      <c r="AI448" s="147"/>
      <c r="AJ448" s="147">
        <f>(H448/R448)^2+(Z417/AJ417)^2</f>
        <v>0.05131263059407608</v>
      </c>
      <c r="AK448" s="147"/>
      <c r="AL448" s="147"/>
      <c r="AM448" s="147"/>
      <c r="AN448" s="147">
        <f>(M448/W448)^2+(Z417/AJ417)^2</f>
        <v>0.054295075502658274</v>
      </c>
      <c r="AO448" s="147"/>
      <c r="AP448" s="147"/>
      <c r="AQ448" s="147"/>
      <c r="AR448" s="148"/>
      <c r="AS448" s="148"/>
      <c r="AT448" s="139"/>
    </row>
    <row r="449" spans="1:45" ht="18" customHeight="1">
      <c r="A449" s="3"/>
      <c r="B449" s="3"/>
      <c r="C449" s="3" t="s">
        <v>48</v>
      </c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134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</row>
    <row r="450" spans="1:45" ht="18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</row>
    <row r="451" spans="1:45" ht="18" customHeight="1">
      <c r="A451" s="3"/>
      <c r="B451" s="3" t="s">
        <v>62</v>
      </c>
      <c r="C451" s="3"/>
      <c r="D451" s="3"/>
      <c r="E451" s="3"/>
      <c r="F451" s="3"/>
      <c r="G451" s="3"/>
      <c r="H451" s="3"/>
      <c r="I451" s="3"/>
      <c r="J451" s="3"/>
      <c r="K451" s="134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</row>
    <row r="452" spans="1:45" ht="18" customHeight="1">
      <c r="A452" s="3"/>
      <c r="B452" s="3"/>
      <c r="C452" s="3"/>
      <c r="D452" s="3"/>
      <c r="E452" s="3" t="s">
        <v>49</v>
      </c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</row>
    <row r="453" spans="1:45" ht="18" customHeight="1">
      <c r="A453" s="3"/>
      <c r="B453" s="3"/>
      <c r="C453" s="3"/>
      <c r="D453" s="3"/>
      <c r="E453" s="3"/>
      <c r="F453" s="152" t="s">
        <v>85</v>
      </c>
      <c r="G453" s="141" t="s">
        <v>97</v>
      </c>
      <c r="H453" s="141"/>
      <c r="I453" s="153">
        <v>0</v>
      </c>
      <c r="J453" s="33"/>
      <c r="K453" s="33"/>
      <c r="L453" s="33"/>
      <c r="M453" s="141" t="s">
        <v>98</v>
      </c>
      <c r="N453" s="141"/>
      <c r="O453" s="154">
        <v>0</v>
      </c>
      <c r="P453" s="33"/>
      <c r="Q453" s="33" t="s">
        <v>79</v>
      </c>
      <c r="R453" s="152" t="s">
        <v>85</v>
      </c>
      <c r="S453" s="141">
        <f>IF(AB447=R455,H447,IF(AB448=R455,H448,"ERROR"))</f>
        <v>-29.49769857894518</v>
      </c>
      <c r="T453" s="141"/>
      <c r="U453" s="141"/>
      <c r="V453" s="141"/>
      <c r="W453" s="141"/>
      <c r="X453" s="154">
        <v>0</v>
      </c>
      <c r="Y453" s="33"/>
      <c r="Z453" s="33" t="s">
        <v>78</v>
      </c>
      <c r="AA453" s="152" t="s">
        <v>85</v>
      </c>
      <c r="AB453" s="141">
        <f>Z417</f>
        <v>21.32564069612514</v>
      </c>
      <c r="AC453" s="141"/>
      <c r="AD453" s="141"/>
      <c r="AE453" s="141"/>
      <c r="AF453" s="141"/>
      <c r="AG453" s="154">
        <v>0</v>
      </c>
      <c r="AH453" s="3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</row>
    <row r="454" spans="1:45" ht="18" customHeight="1">
      <c r="A454" s="3"/>
      <c r="B454" s="3"/>
      <c r="C454" s="3"/>
      <c r="D454" s="3"/>
      <c r="E454" s="3"/>
      <c r="F454" s="33"/>
      <c r="G454" s="144" t="s">
        <v>99</v>
      </c>
      <c r="H454" s="144"/>
      <c r="I454" s="33"/>
      <c r="J454" s="33"/>
      <c r="K454" s="33"/>
      <c r="L454" s="33"/>
      <c r="M454" s="144" t="s">
        <v>100</v>
      </c>
      <c r="N454" s="144"/>
      <c r="O454" s="33"/>
      <c r="P454" s="33"/>
      <c r="Q454" s="33"/>
      <c r="R454" s="33"/>
      <c r="S454" s="144">
        <f>IF(AB447=R455,R447,IF(AB448=R455,R448,"ERROR"))</f>
        <v>210</v>
      </c>
      <c r="T454" s="144"/>
      <c r="U454" s="144"/>
      <c r="V454" s="144"/>
      <c r="W454" s="144"/>
      <c r="X454" s="33"/>
      <c r="Y454" s="33"/>
      <c r="Z454" s="33"/>
      <c r="AA454" s="33"/>
      <c r="AB454" s="144">
        <f>AJ417</f>
        <v>120</v>
      </c>
      <c r="AC454" s="144"/>
      <c r="AD454" s="144"/>
      <c r="AE454" s="144"/>
      <c r="AF454" s="144"/>
      <c r="AG454" s="33"/>
      <c r="AH454" s="3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</row>
    <row r="455" spans="1:45" ht="18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 t="s">
        <v>79</v>
      </c>
      <c r="R455" s="33">
        <f>MAX(AB447:AB448)</f>
        <v>0.019730481212115746</v>
      </c>
      <c r="S455" s="33"/>
      <c r="T455" s="33"/>
      <c r="U455" s="33"/>
      <c r="V455" s="3" t="s">
        <v>78</v>
      </c>
      <c r="W455" s="33">
        <f>(Z417/AJ417)^2</f>
        <v>0.03158214938196033</v>
      </c>
      <c r="X455" s="33"/>
      <c r="Y455" s="33"/>
      <c r="Z455" s="33"/>
      <c r="AA455" s="3" t="s">
        <v>79</v>
      </c>
      <c r="AB455" s="33">
        <f>R455+W455</f>
        <v>0.05131263059407608</v>
      </c>
      <c r="AC455" s="33"/>
      <c r="AD455" s="33"/>
      <c r="AE455" s="33"/>
      <c r="AF455" s="3"/>
      <c r="AG455" s="3" t="str">
        <f>IF(AB455&gt;AI455,"＞","＜")</f>
        <v>＜</v>
      </c>
      <c r="AH455" s="3"/>
      <c r="AI455" s="126">
        <v>1.2</v>
      </c>
      <c r="AJ455" s="33"/>
      <c r="AK455" s="33"/>
      <c r="AL455" s="3"/>
      <c r="AM455" s="3" t="str">
        <f>IF(AB455&lt;AI455,"O.K.","N.G.")</f>
        <v>O.K.</v>
      </c>
      <c r="AN455" s="3"/>
      <c r="AO455" s="3"/>
      <c r="AP455" s="3"/>
      <c r="AQ455" s="3"/>
      <c r="AR455" s="3"/>
      <c r="AS455" s="3"/>
    </row>
    <row r="456" spans="1:45" ht="18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</row>
    <row r="457" spans="1:45" ht="18" customHeight="1">
      <c r="A457" s="3"/>
      <c r="B457" s="3"/>
      <c r="C457" s="3"/>
      <c r="D457" s="3"/>
      <c r="E457" s="3" t="s">
        <v>50</v>
      </c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</row>
    <row r="458" spans="1:45" ht="18" customHeight="1">
      <c r="A458" s="3"/>
      <c r="B458" s="3"/>
      <c r="C458" s="3"/>
      <c r="D458" s="3"/>
      <c r="E458" s="3"/>
      <c r="F458" s="152" t="s">
        <v>85</v>
      </c>
      <c r="G458" s="141" t="s">
        <v>97</v>
      </c>
      <c r="H458" s="141"/>
      <c r="I458" s="153">
        <v>0</v>
      </c>
      <c r="J458" s="33"/>
      <c r="K458" s="33"/>
      <c r="L458" s="33"/>
      <c r="M458" s="141" t="s">
        <v>98</v>
      </c>
      <c r="N458" s="141"/>
      <c r="O458" s="154">
        <v>0</v>
      </c>
      <c r="P458" s="33"/>
      <c r="Q458" s="33" t="s">
        <v>79</v>
      </c>
      <c r="R458" s="152" t="s">
        <v>85</v>
      </c>
      <c r="S458" s="141">
        <f>IF(AF447=R460,M447,IF(AF448=R460,M448,"ERROR"))</f>
        <v>31.64869731794311</v>
      </c>
      <c r="T458" s="141"/>
      <c r="U458" s="141"/>
      <c r="V458" s="141"/>
      <c r="W458" s="141"/>
      <c r="X458" s="154">
        <v>0</v>
      </c>
      <c r="Y458" s="33"/>
      <c r="Z458" s="33" t="s">
        <v>78</v>
      </c>
      <c r="AA458" s="152" t="s">
        <v>85</v>
      </c>
      <c r="AB458" s="141">
        <f>Z417</f>
        <v>21.32564069612514</v>
      </c>
      <c r="AC458" s="141"/>
      <c r="AD458" s="141"/>
      <c r="AE458" s="141"/>
      <c r="AF458" s="141"/>
      <c r="AG458" s="154">
        <v>0</v>
      </c>
      <c r="AH458" s="3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</row>
    <row r="459" spans="1:45" ht="18" customHeight="1">
      <c r="A459" s="3"/>
      <c r="B459" s="3"/>
      <c r="C459" s="3"/>
      <c r="D459" s="3"/>
      <c r="E459" s="3"/>
      <c r="F459" s="33"/>
      <c r="G459" s="144" t="s">
        <v>99</v>
      </c>
      <c r="H459" s="144"/>
      <c r="I459" s="33"/>
      <c r="J459" s="33"/>
      <c r="K459" s="33"/>
      <c r="L459" s="33"/>
      <c r="M459" s="144" t="s">
        <v>100</v>
      </c>
      <c r="N459" s="144"/>
      <c r="O459" s="33"/>
      <c r="P459" s="33"/>
      <c r="Q459" s="33"/>
      <c r="R459" s="33"/>
      <c r="S459" s="144">
        <f>IF(AF447=R460,W447,IF(AF448=R460,W448,"ERROR"))</f>
        <v>210</v>
      </c>
      <c r="T459" s="144"/>
      <c r="U459" s="144"/>
      <c r="V459" s="144"/>
      <c r="W459" s="144"/>
      <c r="X459" s="33"/>
      <c r="Y459" s="33"/>
      <c r="Z459" s="33"/>
      <c r="AA459" s="33"/>
      <c r="AB459" s="144">
        <f>AJ417</f>
        <v>120</v>
      </c>
      <c r="AC459" s="144"/>
      <c r="AD459" s="144"/>
      <c r="AE459" s="144"/>
      <c r="AF459" s="144"/>
      <c r="AG459" s="33"/>
      <c r="AH459" s="3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</row>
    <row r="460" spans="1:45" ht="18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 t="s">
        <v>79</v>
      </c>
      <c r="R460" s="33">
        <f>MAX(AF447:AF448)</f>
        <v>0.02271292612069795</v>
      </c>
      <c r="S460" s="33"/>
      <c r="T460" s="33"/>
      <c r="U460" s="33"/>
      <c r="V460" s="3" t="s">
        <v>78</v>
      </c>
      <c r="W460" s="33">
        <f>(Z417/AJ417)^2</f>
        <v>0.03158214938196033</v>
      </c>
      <c r="X460" s="33"/>
      <c r="Y460" s="33"/>
      <c r="Z460" s="33"/>
      <c r="AA460" s="3" t="s">
        <v>79</v>
      </c>
      <c r="AB460" s="33">
        <f>R460+W460</f>
        <v>0.054295075502658274</v>
      </c>
      <c r="AC460" s="33"/>
      <c r="AD460" s="33"/>
      <c r="AE460" s="33"/>
      <c r="AF460" s="3"/>
      <c r="AG460" s="3" t="str">
        <f>IF(AB460&gt;AI460,"＞","＜")</f>
        <v>＜</v>
      </c>
      <c r="AH460" s="3"/>
      <c r="AI460" s="126">
        <v>1.2</v>
      </c>
      <c r="AJ460" s="33"/>
      <c r="AK460" s="33"/>
      <c r="AL460" s="3"/>
      <c r="AM460" s="3" t="str">
        <f>IF(AB460&lt;AI460,"O.K.","N.G.")</f>
        <v>O.K.</v>
      </c>
      <c r="AN460" s="3"/>
      <c r="AO460" s="3"/>
      <c r="AP460" s="3"/>
      <c r="AQ460" s="3"/>
      <c r="AR460" s="3"/>
      <c r="AS460" s="3"/>
    </row>
    <row r="461" ht="18" customHeight="1">
      <c r="AU461" s="151"/>
    </row>
    <row r="462" spans="21:31" ht="18" customHeight="1"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</row>
    <row r="469" spans="1:25" ht="18" customHeight="1">
      <c r="A469" s="54" t="s">
        <v>153</v>
      </c>
      <c r="G469" s="55">
        <v>5</v>
      </c>
      <c r="H469" s="55"/>
      <c r="I469" s="53" t="s">
        <v>63</v>
      </c>
      <c r="K469" s="53" t="s">
        <v>109</v>
      </c>
      <c r="M469" s="55">
        <v>8</v>
      </c>
      <c r="N469" s="55"/>
      <c r="O469" s="53" t="s">
        <v>64</v>
      </c>
      <c r="V469" s="56">
        <v>0</v>
      </c>
      <c r="W469" s="56"/>
      <c r="X469" s="56"/>
      <c r="Y469" s="53" t="s">
        <v>65</v>
      </c>
    </row>
    <row r="470" spans="1:70" ht="18" customHeight="1">
      <c r="A470" s="57" t="s">
        <v>110</v>
      </c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 t="s">
        <v>111</v>
      </c>
      <c r="AA470" s="3"/>
      <c r="AB470" s="3"/>
      <c r="AC470" s="3"/>
      <c r="AD470" s="3"/>
      <c r="AE470" s="3"/>
      <c r="AF470" s="3"/>
      <c r="AG470" s="58" t="s">
        <v>11</v>
      </c>
      <c r="AH470" s="59"/>
      <c r="AI470" s="59"/>
      <c r="AJ470" s="59"/>
      <c r="AK470" s="60" t="s">
        <v>171</v>
      </c>
      <c r="AL470" s="3"/>
      <c r="AM470" s="3"/>
      <c r="AN470" s="3"/>
      <c r="AO470" s="3"/>
      <c r="AP470" s="3"/>
      <c r="AQ470" s="3"/>
      <c r="AU470" s="61"/>
      <c r="AX470" s="62"/>
      <c r="AY470" s="62"/>
      <c r="AZ470" s="62"/>
      <c r="BA470" s="62"/>
      <c r="BB470" s="62"/>
      <c r="BC470" s="62"/>
      <c r="BD470" s="62"/>
      <c r="BM470" s="62"/>
      <c r="BN470" s="62"/>
      <c r="BO470" s="62"/>
      <c r="BP470" s="62"/>
      <c r="BQ470" s="62"/>
      <c r="BR470" s="62"/>
    </row>
    <row r="471" spans="1:70" ht="18" customHeight="1">
      <c r="A471" s="3"/>
      <c r="B471" s="3"/>
      <c r="C471" s="3"/>
      <c r="D471" s="3"/>
      <c r="E471" s="63"/>
      <c r="F471" s="63"/>
      <c r="G471" s="63"/>
      <c r="H471" s="63"/>
      <c r="I471" s="63"/>
      <c r="J471" s="63"/>
      <c r="K471" s="63"/>
      <c r="M471" s="62"/>
      <c r="N471" s="62"/>
      <c r="O471" s="62"/>
      <c r="P471" s="62"/>
      <c r="Q471" s="62"/>
      <c r="R471" s="62"/>
      <c r="S471" s="62"/>
      <c r="T471" s="63"/>
      <c r="U471" s="63"/>
      <c r="V471" s="63"/>
      <c r="W471" s="63"/>
      <c r="X471" s="63"/>
      <c r="Y471" s="63"/>
      <c r="Z471" s="3"/>
      <c r="AA471" s="3"/>
      <c r="AB471" s="3"/>
      <c r="AC471" s="3"/>
      <c r="AD471" s="3"/>
      <c r="AX471" s="62"/>
      <c r="AY471" s="62"/>
      <c r="AZ471" s="62"/>
      <c r="BA471" s="62"/>
      <c r="BB471" s="62"/>
      <c r="BC471" s="62"/>
      <c r="BD471" s="62"/>
      <c r="BM471" s="62"/>
      <c r="BN471" s="62"/>
      <c r="BO471" s="62"/>
      <c r="BP471" s="62"/>
      <c r="BQ471" s="62"/>
      <c r="BR471" s="62"/>
    </row>
    <row r="472" spans="1:50" ht="18" customHeight="1">
      <c r="A472" s="3"/>
      <c r="B472" s="3"/>
      <c r="C472" s="3"/>
      <c r="D472" s="3"/>
      <c r="E472" s="63"/>
      <c r="F472" s="63"/>
      <c r="G472" s="63"/>
      <c r="L472" s="62"/>
      <c r="M472" s="62"/>
      <c r="N472" s="62"/>
      <c r="O472" s="62"/>
      <c r="P472" s="62"/>
      <c r="Q472" s="62"/>
      <c r="R472" s="62"/>
      <c r="S472" s="62"/>
      <c r="W472" s="62"/>
      <c r="X472" s="63"/>
      <c r="Y472" s="63"/>
      <c r="Z472" s="3"/>
      <c r="AA472" s="3"/>
      <c r="AB472" s="3"/>
      <c r="AC472" s="3"/>
      <c r="AD472" s="3"/>
      <c r="AE472" s="57" t="s">
        <v>66</v>
      </c>
      <c r="AF472" s="3"/>
      <c r="AG472" s="58">
        <v>2.6</v>
      </c>
      <c r="AH472" s="58"/>
      <c r="AI472" s="58"/>
      <c r="AJ472" s="3" t="s">
        <v>65</v>
      </c>
      <c r="AK472" s="3"/>
      <c r="AL472" s="3"/>
      <c r="AM472" s="3"/>
      <c r="AN472" s="3"/>
      <c r="AO472" s="3"/>
      <c r="AP472" s="3"/>
      <c r="AQ472" s="3"/>
      <c r="AX472" s="62"/>
    </row>
    <row r="473" spans="1:43" ht="18" customHeight="1">
      <c r="A473" s="3"/>
      <c r="B473" s="3"/>
      <c r="C473" s="3"/>
      <c r="D473" s="3"/>
      <c r="E473" s="3"/>
      <c r="F473" s="3"/>
      <c r="G473" s="3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2"/>
      <c r="S473" s="62"/>
      <c r="T473" s="62"/>
      <c r="U473" s="62"/>
      <c r="V473" s="62"/>
      <c r="W473" s="3"/>
      <c r="X473" s="3"/>
      <c r="Y473" s="3"/>
      <c r="Z473" s="3"/>
      <c r="AA473" s="3"/>
      <c r="AB473" s="3"/>
      <c r="AC473" s="3"/>
      <c r="AD473" s="3"/>
      <c r="AE473" s="3" t="s">
        <v>112</v>
      </c>
      <c r="AF473" s="3"/>
      <c r="AG473" s="58">
        <v>1.2</v>
      </c>
      <c r="AH473" s="58"/>
      <c r="AI473" s="58"/>
      <c r="AJ473" s="3" t="s">
        <v>113</v>
      </c>
      <c r="AK473" s="3" t="s">
        <v>114</v>
      </c>
      <c r="AL473" s="3"/>
      <c r="AM473" s="58">
        <v>1.2</v>
      </c>
      <c r="AN473" s="58"/>
      <c r="AO473" s="58"/>
      <c r="AP473" s="3" t="s">
        <v>115</v>
      </c>
      <c r="AQ473" s="3"/>
    </row>
    <row r="474" spans="1:36" ht="18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C474" s="3"/>
      <c r="AD474" s="3"/>
      <c r="AE474" s="3" t="s">
        <v>116</v>
      </c>
      <c r="AF474" s="3"/>
      <c r="AG474" s="58">
        <v>2.1</v>
      </c>
      <c r="AH474" s="58"/>
      <c r="AI474" s="58"/>
      <c r="AJ474" s="3" t="s">
        <v>115</v>
      </c>
    </row>
    <row r="475" spans="1:43" ht="18" customHeight="1">
      <c r="A475" s="3"/>
      <c r="B475" s="3"/>
      <c r="C475" s="3"/>
      <c r="D475" s="3"/>
      <c r="E475" s="3"/>
      <c r="F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64"/>
      <c r="AC475" s="3"/>
      <c r="AD475" s="3"/>
      <c r="AE475" s="57" t="s">
        <v>51</v>
      </c>
      <c r="AK475" s="3"/>
      <c r="AL475" s="3"/>
      <c r="AM475" s="3"/>
      <c r="AN475" s="3"/>
      <c r="AO475" s="3"/>
      <c r="AP475" s="3"/>
      <c r="AQ475" s="3"/>
    </row>
    <row r="476" spans="1:43" ht="18" customHeight="1">
      <c r="A476" s="3"/>
      <c r="B476" s="3"/>
      <c r="C476" s="3"/>
      <c r="D476" s="3"/>
      <c r="E476" s="3"/>
      <c r="F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C476" s="3"/>
      <c r="AD476" s="3"/>
      <c r="AE476" s="57" t="s">
        <v>117</v>
      </c>
      <c r="AF476" s="3"/>
      <c r="AG476" s="33">
        <f>AG473+AM473+AG482*2</f>
        <v>2.6399999999999997</v>
      </c>
      <c r="AH476" s="33"/>
      <c r="AI476" s="33"/>
      <c r="AJ476" s="3" t="s">
        <v>113</v>
      </c>
      <c r="AK476" s="57" t="s">
        <v>118</v>
      </c>
      <c r="AL476" s="3"/>
      <c r="AM476" s="33">
        <f>AG474+AG483*2</f>
        <v>2.34</v>
      </c>
      <c r="AN476" s="33"/>
      <c r="AO476" s="33"/>
      <c r="AP476" s="3" t="s">
        <v>115</v>
      </c>
      <c r="AQ476" s="3"/>
    </row>
    <row r="477" spans="1:53" ht="18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65" t="str">
        <f>C498&amp;" - "&amp;AG484&amp;" x "&amp;AJ484</f>
        <v>2 - 150 x 14</v>
      </c>
      <c r="N477" s="65"/>
      <c r="O477" s="65"/>
      <c r="P477" s="65"/>
      <c r="Q477" s="65"/>
      <c r="R477" s="65"/>
      <c r="S477" s="3"/>
      <c r="T477" s="3"/>
      <c r="U477" s="3"/>
      <c r="V477" s="3"/>
      <c r="W477" s="3"/>
      <c r="X477" s="3"/>
      <c r="Y477" s="3"/>
      <c r="Z477" s="3"/>
      <c r="AA477" s="3"/>
      <c r="AC477" s="3"/>
      <c r="AD477" s="3"/>
      <c r="AE477" s="57" t="s">
        <v>119</v>
      </c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U477" s="3"/>
      <c r="AV477" s="3"/>
      <c r="AW477" s="3"/>
      <c r="AX477" s="3"/>
      <c r="AY477" s="3"/>
      <c r="AZ477" s="3"/>
      <c r="BA477" s="3"/>
    </row>
    <row r="478" spans="1:81" ht="18" customHeight="1">
      <c r="A478" s="3"/>
      <c r="B478" s="3"/>
      <c r="C478" s="3"/>
      <c r="D478" s="3"/>
      <c r="E478" s="3"/>
      <c r="F478" s="3"/>
      <c r="G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C478" s="3"/>
      <c r="AD478" s="3"/>
      <c r="AE478" s="57" t="s">
        <v>120</v>
      </c>
      <c r="AF478" s="3"/>
      <c r="AG478" s="58">
        <v>2.195</v>
      </c>
      <c r="AH478" s="58"/>
      <c r="AI478" s="58"/>
      <c r="AJ478" s="3" t="s">
        <v>113</v>
      </c>
      <c r="AK478" s="57" t="s">
        <v>121</v>
      </c>
      <c r="AL478" s="3"/>
      <c r="AM478" s="58">
        <v>2.007</v>
      </c>
      <c r="AN478" s="58"/>
      <c r="AO478" s="58"/>
      <c r="AP478" s="3" t="s">
        <v>115</v>
      </c>
      <c r="AQ478" s="3"/>
      <c r="AU478" s="3"/>
      <c r="AV478" s="3"/>
      <c r="AW478" s="3"/>
      <c r="AX478" s="3"/>
      <c r="AY478" s="3"/>
      <c r="AZ478" s="3"/>
      <c r="BA478" s="3"/>
      <c r="CA478" s="66"/>
      <c r="CB478" s="66"/>
      <c r="CC478" s="66"/>
    </row>
    <row r="479" spans="1:81" ht="18" customHeight="1">
      <c r="A479" s="3"/>
      <c r="B479" s="3"/>
      <c r="C479" s="3"/>
      <c r="D479" s="67" t="s">
        <v>154</v>
      </c>
      <c r="E479" s="67"/>
      <c r="F479" s="68">
        <f>DEGREES(ATAN((AG473-AG474/2)/AG472))</f>
        <v>3.301865674435001</v>
      </c>
      <c r="G479" s="68"/>
      <c r="H479" s="68"/>
      <c r="I479" s="69" t="s">
        <v>122</v>
      </c>
      <c r="J479" s="3"/>
      <c r="K479" s="3"/>
      <c r="L479" s="3"/>
      <c r="M479" s="3"/>
      <c r="N479" s="65" t="str">
        <f>C501&amp;" - "&amp;AN484&amp;" x "&amp;AQ484</f>
        <v>5 - 150 x 14</v>
      </c>
      <c r="O479" s="65"/>
      <c r="P479" s="65"/>
      <c r="Q479" s="65"/>
      <c r="R479" s="65"/>
      <c r="S479" s="65"/>
      <c r="T479" s="3"/>
      <c r="U479" s="3"/>
      <c r="V479" s="67" t="s">
        <v>155</v>
      </c>
      <c r="W479" s="67"/>
      <c r="X479" s="68">
        <f>DEGREES(ATAN((AM473-AG474/2)/AG472))</f>
        <v>3.301865674435001</v>
      </c>
      <c r="Y479" s="68"/>
      <c r="Z479" s="68"/>
      <c r="AA479" s="69" t="s">
        <v>122</v>
      </c>
      <c r="AB479" s="3"/>
      <c r="AC479" s="3"/>
      <c r="AD479" s="3"/>
      <c r="AE479" s="57" t="s">
        <v>67</v>
      </c>
      <c r="AF479" s="3"/>
      <c r="AG479" s="58">
        <v>0.028</v>
      </c>
      <c r="AH479" s="58"/>
      <c r="AI479" s="58"/>
      <c r="AJ479" s="3" t="s">
        <v>65</v>
      </c>
      <c r="AK479" s="3"/>
      <c r="AL479" s="3"/>
      <c r="AM479" s="3"/>
      <c r="AN479" s="3"/>
      <c r="AO479" s="3"/>
      <c r="AP479" s="3"/>
      <c r="AQ479" s="3"/>
      <c r="AU479" s="3"/>
      <c r="AV479" s="3"/>
      <c r="AW479" s="67"/>
      <c r="AX479" s="67"/>
      <c r="AY479" s="3"/>
      <c r="AZ479" s="3"/>
      <c r="BA479" s="3"/>
      <c r="CA479" s="66"/>
      <c r="CB479" s="66"/>
      <c r="CC479" s="66"/>
    </row>
    <row r="480" spans="1:81" ht="18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57" t="s">
        <v>68</v>
      </c>
      <c r="AF480" s="3"/>
      <c r="AG480" s="58">
        <v>0.028</v>
      </c>
      <c r="AH480" s="58"/>
      <c r="AI480" s="58"/>
      <c r="AJ480" s="3" t="s">
        <v>65</v>
      </c>
      <c r="AK480" s="3"/>
      <c r="AL480" s="3"/>
      <c r="AM480" s="3"/>
      <c r="AN480" s="3"/>
      <c r="AO480" s="3"/>
      <c r="AP480" s="3"/>
      <c r="AQ480" s="3"/>
      <c r="AU480" s="3"/>
      <c r="AV480" s="3"/>
      <c r="AW480" s="3"/>
      <c r="AX480" s="3"/>
      <c r="AY480" s="3"/>
      <c r="AZ480" s="3"/>
      <c r="BA480" s="3"/>
      <c r="CA480" s="66"/>
      <c r="CB480" s="66"/>
      <c r="CC480" s="66"/>
    </row>
    <row r="481" spans="1:81" ht="18" customHeight="1">
      <c r="A481" s="3"/>
      <c r="B481" s="3"/>
      <c r="C481" s="3"/>
      <c r="D481" s="3"/>
      <c r="E481" s="3"/>
      <c r="F481" s="3"/>
      <c r="G481" s="3"/>
      <c r="H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57" t="s">
        <v>69</v>
      </c>
      <c r="AF481" s="3"/>
      <c r="AG481" s="58">
        <v>0.01</v>
      </c>
      <c r="AH481" s="58"/>
      <c r="AI481" s="58"/>
      <c r="AJ481" s="3" t="s">
        <v>65</v>
      </c>
      <c r="AK481" s="3"/>
      <c r="AL481" s="3"/>
      <c r="AM481" s="3"/>
      <c r="AN481" s="3"/>
      <c r="AO481" s="3"/>
      <c r="AP481" s="3"/>
      <c r="AQ481" s="3"/>
      <c r="AU481" s="3"/>
      <c r="AV481" s="3"/>
      <c r="AW481" s="3"/>
      <c r="AX481" s="3"/>
      <c r="AY481" s="3"/>
      <c r="AZ481" s="3"/>
      <c r="BA481" s="3"/>
      <c r="CA481" s="66"/>
      <c r="CB481" s="66"/>
      <c r="CC481" s="66"/>
    </row>
    <row r="482" spans="1:81" ht="18" customHeight="1">
      <c r="A482" s="3"/>
      <c r="B482" s="3"/>
      <c r="E482" s="62"/>
      <c r="F482" s="62"/>
      <c r="G482" s="62"/>
      <c r="H482" s="62"/>
      <c r="I482" s="62"/>
      <c r="J482" s="70"/>
      <c r="K482" s="62"/>
      <c r="L482" s="62"/>
      <c r="M482" s="62"/>
      <c r="N482" s="62"/>
      <c r="O482" s="62"/>
      <c r="P482" s="62"/>
      <c r="Q482" s="62"/>
      <c r="R482" s="62"/>
      <c r="S482" s="62"/>
      <c r="T482" s="71"/>
      <c r="U482" s="62"/>
      <c r="V482" s="62"/>
      <c r="AD482" s="3"/>
      <c r="AE482" s="53" t="s">
        <v>123</v>
      </c>
      <c r="AG482" s="56">
        <v>0.12</v>
      </c>
      <c r="AH482" s="56"/>
      <c r="AI482" s="56"/>
      <c r="AJ482" s="53" t="s">
        <v>65</v>
      </c>
      <c r="AK482" s="3"/>
      <c r="AL482" s="3"/>
      <c r="AM482" s="3"/>
      <c r="AN482" s="3"/>
      <c r="AO482" s="3"/>
      <c r="AP482" s="3"/>
      <c r="AQ482" s="3"/>
      <c r="AU482" s="3"/>
      <c r="AV482" s="3"/>
      <c r="AW482" s="3"/>
      <c r="AX482" s="63"/>
      <c r="AY482" s="3"/>
      <c r="AZ482" s="3"/>
      <c r="BA482" s="3"/>
      <c r="CA482" s="66"/>
      <c r="CB482" s="66"/>
      <c r="CC482" s="66"/>
    </row>
    <row r="483" spans="5:50" ht="18" customHeight="1">
      <c r="E483" s="62"/>
      <c r="F483" s="62"/>
      <c r="G483" s="62"/>
      <c r="H483" s="62"/>
      <c r="I483" s="62"/>
      <c r="J483" s="62"/>
      <c r="K483" s="62"/>
      <c r="N483" s="62"/>
      <c r="O483" s="62"/>
      <c r="P483" s="62"/>
      <c r="Q483" s="62"/>
      <c r="R483" s="62"/>
      <c r="S483" s="62"/>
      <c r="T483" s="62"/>
      <c r="U483" s="62"/>
      <c r="V483" s="62"/>
      <c r="AE483" s="53" t="s">
        <v>124</v>
      </c>
      <c r="AG483" s="56">
        <v>0.12</v>
      </c>
      <c r="AH483" s="56"/>
      <c r="AI483" s="56"/>
      <c r="AJ483" s="53" t="s">
        <v>65</v>
      </c>
      <c r="AX483" s="62"/>
    </row>
    <row r="484" spans="31:45" ht="18" customHeight="1">
      <c r="AE484" s="53" t="s">
        <v>70</v>
      </c>
      <c r="AG484" s="55">
        <v>150</v>
      </c>
      <c r="AH484" s="55"/>
      <c r="AI484" s="72" t="s">
        <v>125</v>
      </c>
      <c r="AJ484" s="55">
        <v>14</v>
      </c>
      <c r="AK484" s="55"/>
      <c r="AL484" s="53" t="s">
        <v>71</v>
      </c>
      <c r="AM484" s="53" t="s">
        <v>113</v>
      </c>
      <c r="AN484" s="55">
        <v>150</v>
      </c>
      <c r="AO484" s="55"/>
      <c r="AP484" s="72" t="s">
        <v>125</v>
      </c>
      <c r="AQ484" s="55">
        <v>14</v>
      </c>
      <c r="AR484" s="55"/>
      <c r="AS484" s="53" t="s">
        <v>71</v>
      </c>
    </row>
    <row r="485" spans="33:83" ht="18" customHeight="1">
      <c r="AG485" s="73"/>
      <c r="AH485" s="73"/>
      <c r="AI485" s="72"/>
      <c r="AJ485" s="73"/>
      <c r="AK485" s="73"/>
      <c r="AN485" s="73"/>
      <c r="AO485" s="73"/>
      <c r="AP485" s="72"/>
      <c r="AQ485" s="73"/>
      <c r="AR485" s="73"/>
      <c r="CA485" s="73"/>
      <c r="CB485" s="72"/>
      <c r="CD485" s="73"/>
      <c r="CE485" s="72"/>
    </row>
    <row r="486" spans="4:38" ht="18" customHeight="1">
      <c r="D486" s="74" t="s">
        <v>126</v>
      </c>
      <c r="E486" s="75"/>
      <c r="F486" s="75"/>
      <c r="G486" s="75"/>
      <c r="H486" s="75"/>
      <c r="I486" s="75"/>
      <c r="J486" s="75"/>
      <c r="K486" s="75"/>
      <c r="L486" s="75"/>
      <c r="M486" s="75"/>
      <c r="N486" s="75"/>
      <c r="O486" s="75"/>
      <c r="P486" s="75"/>
      <c r="Q486" s="75"/>
      <c r="R486" s="75"/>
      <c r="S486" s="75"/>
      <c r="T486" s="75"/>
      <c r="U486" s="75"/>
      <c r="V486" s="75"/>
      <c r="W486" s="75"/>
      <c r="X486" s="75"/>
      <c r="Y486" s="75"/>
      <c r="Z486" s="75"/>
      <c r="AA486" s="75"/>
      <c r="AB486" s="76"/>
      <c r="AC486" s="74" t="s">
        <v>127</v>
      </c>
      <c r="AD486" s="31"/>
      <c r="AE486" s="31"/>
      <c r="AF486" s="32"/>
      <c r="AG486" s="77" t="s">
        <v>128</v>
      </c>
      <c r="AH486" s="75"/>
      <c r="AI486" s="75"/>
      <c r="AJ486" s="75"/>
      <c r="AK486" s="75"/>
      <c r="AL486" s="76"/>
    </row>
    <row r="487" spans="4:48" ht="18" customHeight="1">
      <c r="D487" s="78" t="s">
        <v>129</v>
      </c>
      <c r="E487" s="79"/>
      <c r="F487" s="79"/>
      <c r="G487" s="79"/>
      <c r="H487" s="79"/>
      <c r="I487" s="79"/>
      <c r="J487" s="79"/>
      <c r="K487" s="79"/>
      <c r="L487" s="79"/>
      <c r="M487" s="79"/>
      <c r="N487" s="79"/>
      <c r="O487" s="79"/>
      <c r="P487" s="79"/>
      <c r="Q487" s="79"/>
      <c r="R487" s="79"/>
      <c r="S487" s="79"/>
      <c r="T487" s="79"/>
      <c r="U487" s="79"/>
      <c r="V487" s="79"/>
      <c r="W487" s="79"/>
      <c r="X487" s="79"/>
      <c r="Y487" s="79"/>
      <c r="Z487" s="79"/>
      <c r="AA487" s="79"/>
      <c r="AB487" s="80"/>
      <c r="AC487" s="81" t="s">
        <v>101</v>
      </c>
      <c r="AD487" s="81"/>
      <c r="AE487" s="81"/>
      <c r="AF487" s="81"/>
      <c r="AG487" s="82">
        <v>200000</v>
      </c>
      <c r="AH487" s="83"/>
      <c r="AI487" s="83"/>
      <c r="AJ487" s="83"/>
      <c r="AK487" s="83"/>
      <c r="AL487" s="84"/>
      <c r="AV487" s="61"/>
    </row>
    <row r="488" spans="4:48" ht="18" customHeight="1">
      <c r="D488" s="78" t="s">
        <v>52</v>
      </c>
      <c r="E488" s="79"/>
      <c r="F488" s="79"/>
      <c r="G488" s="79"/>
      <c r="H488" s="79"/>
      <c r="I488" s="79"/>
      <c r="J488" s="79"/>
      <c r="K488" s="79"/>
      <c r="L488" s="79"/>
      <c r="M488" s="79"/>
      <c r="N488" s="79"/>
      <c r="O488" s="79"/>
      <c r="P488" s="79"/>
      <c r="Q488" s="79"/>
      <c r="R488" s="79"/>
      <c r="S488" s="79"/>
      <c r="T488" s="79"/>
      <c r="U488" s="79"/>
      <c r="V488" s="79"/>
      <c r="W488" s="79"/>
      <c r="X488" s="79"/>
      <c r="Y488" s="79"/>
      <c r="Z488" s="79"/>
      <c r="AA488" s="79"/>
      <c r="AB488" s="80"/>
      <c r="AC488" s="85" t="s">
        <v>130</v>
      </c>
      <c r="AD488" s="81"/>
      <c r="AE488" s="81"/>
      <c r="AF488" s="86"/>
      <c r="AG488" s="87">
        <v>-10227.611</v>
      </c>
      <c r="AH488" s="88"/>
      <c r="AI488" s="88"/>
      <c r="AJ488" s="88"/>
      <c r="AK488" s="88"/>
      <c r="AL488" s="89"/>
      <c r="AV488" s="61"/>
    </row>
    <row r="489" spans="4:48" ht="18" customHeight="1">
      <c r="D489" s="78" t="s">
        <v>102</v>
      </c>
      <c r="E489" s="79"/>
      <c r="F489" s="79"/>
      <c r="G489" s="79"/>
      <c r="H489" s="79"/>
      <c r="I489" s="79"/>
      <c r="J489" s="79"/>
      <c r="K489" s="79"/>
      <c r="L489" s="79"/>
      <c r="M489" s="79"/>
      <c r="N489" s="79"/>
      <c r="O489" s="79"/>
      <c r="P489" s="79"/>
      <c r="Q489" s="79"/>
      <c r="R489" s="79"/>
      <c r="S489" s="79"/>
      <c r="T489" s="79"/>
      <c r="U489" s="79"/>
      <c r="V489" s="79"/>
      <c r="W489" s="79"/>
      <c r="X489" s="79"/>
      <c r="Y489" s="79"/>
      <c r="Z489" s="79"/>
      <c r="AA489" s="79"/>
      <c r="AB489" s="80"/>
      <c r="AC489" s="85" t="s">
        <v>130</v>
      </c>
      <c r="AD489" s="81"/>
      <c r="AE489" s="81"/>
      <c r="AF489" s="86"/>
      <c r="AG489" s="87">
        <v>-4543.348</v>
      </c>
      <c r="AH489" s="88"/>
      <c r="AI489" s="88"/>
      <c r="AJ489" s="88"/>
      <c r="AK489" s="88"/>
      <c r="AL489" s="89"/>
      <c r="AV489" s="61"/>
    </row>
    <row r="490" spans="4:48" ht="18" customHeight="1">
      <c r="D490" s="78" t="s">
        <v>53</v>
      </c>
      <c r="E490" s="79"/>
      <c r="F490" s="79"/>
      <c r="G490" s="79"/>
      <c r="H490" s="79"/>
      <c r="I490" s="79"/>
      <c r="J490" s="79"/>
      <c r="K490" s="79"/>
      <c r="L490" s="79"/>
      <c r="M490" s="79"/>
      <c r="N490" s="79"/>
      <c r="O490" s="79"/>
      <c r="P490" s="79"/>
      <c r="Q490" s="79"/>
      <c r="R490" s="79"/>
      <c r="S490" s="79"/>
      <c r="T490" s="79"/>
      <c r="U490" s="79"/>
      <c r="V490" s="79"/>
      <c r="W490" s="79"/>
      <c r="X490" s="79"/>
      <c r="Y490" s="79"/>
      <c r="Z490" s="79"/>
      <c r="AA490" s="79"/>
      <c r="AB490" s="80"/>
      <c r="AC490" s="85" t="s">
        <v>131</v>
      </c>
      <c r="AD490" s="81"/>
      <c r="AE490" s="81"/>
      <c r="AF490" s="86"/>
      <c r="AG490" s="87">
        <v>-1453.346</v>
      </c>
      <c r="AH490" s="88"/>
      <c r="AI490" s="88"/>
      <c r="AJ490" s="88"/>
      <c r="AK490" s="88"/>
      <c r="AL490" s="89"/>
      <c r="AV490" s="61"/>
    </row>
    <row r="491" spans="4:48" ht="18" customHeight="1">
      <c r="D491" s="78" t="s">
        <v>103</v>
      </c>
      <c r="E491" s="79"/>
      <c r="F491" s="79"/>
      <c r="G491" s="79"/>
      <c r="H491" s="79"/>
      <c r="I491" s="79"/>
      <c r="J491" s="79"/>
      <c r="K491" s="79"/>
      <c r="L491" s="79"/>
      <c r="M491" s="79"/>
      <c r="N491" s="79"/>
      <c r="O491" s="79"/>
      <c r="P491" s="79"/>
      <c r="Q491" s="79"/>
      <c r="R491" s="79"/>
      <c r="S491" s="79"/>
      <c r="T491" s="79"/>
      <c r="U491" s="79"/>
      <c r="V491" s="79"/>
      <c r="W491" s="79"/>
      <c r="X491" s="79"/>
      <c r="Y491" s="79"/>
      <c r="Z491" s="79"/>
      <c r="AA491" s="79"/>
      <c r="AB491" s="80"/>
      <c r="AC491" s="85" t="s">
        <v>131</v>
      </c>
      <c r="AD491" s="81"/>
      <c r="AE491" s="81"/>
      <c r="AF491" s="86"/>
      <c r="AG491" s="87">
        <v>-732.386</v>
      </c>
      <c r="AH491" s="88"/>
      <c r="AI491" s="88"/>
      <c r="AJ491" s="88"/>
      <c r="AK491" s="88"/>
      <c r="AL491" s="89"/>
      <c r="AV491" s="61"/>
    </row>
    <row r="492" spans="4:48" ht="18" customHeight="1">
      <c r="D492" s="78" t="s">
        <v>54</v>
      </c>
      <c r="E492" s="79"/>
      <c r="F492" s="79"/>
      <c r="G492" s="79"/>
      <c r="H492" s="79"/>
      <c r="I492" s="79"/>
      <c r="J492" s="79"/>
      <c r="K492" s="79"/>
      <c r="L492" s="79"/>
      <c r="M492" s="79"/>
      <c r="N492" s="79"/>
      <c r="O492" s="79"/>
      <c r="P492" s="79"/>
      <c r="Q492" s="79"/>
      <c r="R492" s="79"/>
      <c r="S492" s="79"/>
      <c r="T492" s="79"/>
      <c r="U492" s="79"/>
      <c r="V492" s="79"/>
      <c r="W492" s="79"/>
      <c r="X492" s="79"/>
      <c r="Y492" s="79"/>
      <c r="Z492" s="79"/>
      <c r="AA492" s="79"/>
      <c r="AB492" s="80"/>
      <c r="AC492" s="85" t="s">
        <v>130</v>
      </c>
      <c r="AD492" s="81"/>
      <c r="AE492" s="81"/>
      <c r="AF492" s="86"/>
      <c r="AG492" s="87">
        <v>191.341</v>
      </c>
      <c r="AH492" s="88"/>
      <c r="AI492" s="88"/>
      <c r="AJ492" s="88"/>
      <c r="AK492" s="88"/>
      <c r="AL492" s="89"/>
      <c r="AV492" s="61"/>
    </row>
    <row r="493" spans="4:48" ht="18" customHeight="1">
      <c r="D493" s="78" t="s">
        <v>104</v>
      </c>
      <c r="E493" s="79"/>
      <c r="F493" s="79"/>
      <c r="G493" s="79"/>
      <c r="H493" s="79"/>
      <c r="I493" s="79"/>
      <c r="J493" s="79"/>
      <c r="K493" s="79"/>
      <c r="L493" s="79"/>
      <c r="M493" s="79"/>
      <c r="N493" s="79"/>
      <c r="O493" s="79"/>
      <c r="P493" s="79"/>
      <c r="Q493" s="79"/>
      <c r="R493" s="79"/>
      <c r="S493" s="79"/>
      <c r="T493" s="79"/>
      <c r="U493" s="79"/>
      <c r="V493" s="79"/>
      <c r="W493" s="79"/>
      <c r="X493" s="79"/>
      <c r="Y493" s="79"/>
      <c r="Z493" s="79"/>
      <c r="AA493" s="79"/>
      <c r="AB493" s="80"/>
      <c r="AC493" s="85" t="s">
        <v>130</v>
      </c>
      <c r="AD493" s="81"/>
      <c r="AE493" s="81"/>
      <c r="AF493" s="86"/>
      <c r="AG493" s="87">
        <v>402.356</v>
      </c>
      <c r="AH493" s="88"/>
      <c r="AI493" s="88"/>
      <c r="AJ493" s="88"/>
      <c r="AK493" s="88"/>
      <c r="AL493" s="89"/>
      <c r="AV493" s="61"/>
    </row>
    <row r="495" ht="18" customHeight="1">
      <c r="D495" s="53" t="s">
        <v>132</v>
      </c>
    </row>
    <row r="496" spans="3:41" ht="18" customHeight="1">
      <c r="C496" s="74" t="s">
        <v>133</v>
      </c>
      <c r="D496" s="75"/>
      <c r="E496" s="75"/>
      <c r="F496" s="75"/>
      <c r="G496" s="75"/>
      <c r="H496" s="75"/>
      <c r="I496" s="75"/>
      <c r="J496" s="76"/>
      <c r="K496" s="77" t="s">
        <v>134</v>
      </c>
      <c r="L496" s="75"/>
      <c r="M496" s="76"/>
      <c r="N496" s="77" t="s">
        <v>135</v>
      </c>
      <c r="O496" s="75"/>
      <c r="P496" s="76"/>
      <c r="Q496" s="77" t="s">
        <v>136</v>
      </c>
      <c r="R496" s="75"/>
      <c r="S496" s="75"/>
      <c r="T496" s="76"/>
      <c r="U496" s="77" t="s">
        <v>137</v>
      </c>
      <c r="V496" s="75"/>
      <c r="W496" s="75"/>
      <c r="X496" s="76"/>
      <c r="Y496" s="77" t="s">
        <v>138</v>
      </c>
      <c r="Z496" s="75"/>
      <c r="AA496" s="75"/>
      <c r="AB496" s="75"/>
      <c r="AC496" s="76"/>
      <c r="AD496" s="77" t="s">
        <v>156</v>
      </c>
      <c r="AE496" s="75"/>
      <c r="AF496" s="75"/>
      <c r="AG496" s="75"/>
      <c r="AH496" s="75"/>
      <c r="AI496" s="76"/>
      <c r="AJ496" s="77" t="s">
        <v>157</v>
      </c>
      <c r="AK496" s="75"/>
      <c r="AL496" s="75"/>
      <c r="AM496" s="75"/>
      <c r="AN496" s="75"/>
      <c r="AO496" s="76"/>
    </row>
    <row r="497" spans="3:50" ht="18" customHeight="1">
      <c r="C497" s="90">
        <v>1</v>
      </c>
      <c r="D497" s="79" t="s">
        <v>72</v>
      </c>
      <c r="E497" s="79" t="s">
        <v>73</v>
      </c>
      <c r="F497" s="79"/>
      <c r="G497" s="79"/>
      <c r="H497" s="79"/>
      <c r="I497" s="79"/>
      <c r="J497" s="80"/>
      <c r="K497" s="91">
        <f>AG478*1000</f>
        <v>2195</v>
      </c>
      <c r="L497" s="92"/>
      <c r="M497" s="93"/>
      <c r="N497" s="91">
        <f>AG479*1000</f>
        <v>28</v>
      </c>
      <c r="O497" s="92"/>
      <c r="P497" s="93"/>
      <c r="Q497" s="94">
        <f aca="true" t="shared" si="12" ref="Q497:Q502">C497*K497*N497</f>
        <v>61460</v>
      </c>
      <c r="R497" s="95"/>
      <c r="S497" s="95"/>
      <c r="T497" s="96"/>
      <c r="U497" s="97">
        <f>-(N497+AG472*1000)/2</f>
        <v>-1314</v>
      </c>
      <c r="V497" s="98"/>
      <c r="W497" s="98"/>
      <c r="X497" s="99"/>
      <c r="Y497" s="94">
        <f aca="true" t="shared" si="13" ref="Y497:Y502">Q497*U497</f>
        <v>-80758440</v>
      </c>
      <c r="Z497" s="95"/>
      <c r="AA497" s="95"/>
      <c r="AB497" s="95"/>
      <c r="AC497" s="96"/>
      <c r="AD497" s="94">
        <f aca="true" t="shared" si="14" ref="AD497:AD502">U497*Y497</f>
        <v>106116590160</v>
      </c>
      <c r="AE497" s="95"/>
      <c r="AF497" s="95"/>
      <c r="AG497" s="95"/>
      <c r="AH497" s="95"/>
      <c r="AI497" s="96"/>
      <c r="AJ497" s="94">
        <f>C497*K497*POWER(N497,3)/12</f>
        <v>4015386.6666666665</v>
      </c>
      <c r="AK497" s="95"/>
      <c r="AL497" s="95"/>
      <c r="AM497" s="95"/>
      <c r="AN497" s="95"/>
      <c r="AO497" s="96"/>
      <c r="AS497" s="3"/>
      <c r="AT497" s="3"/>
      <c r="AU497" s="3"/>
      <c r="AV497" s="100"/>
      <c r="AW497" s="3"/>
      <c r="AX497" s="3"/>
    </row>
    <row r="498" spans="3:50" ht="18" customHeight="1">
      <c r="C498" s="101">
        <v>2</v>
      </c>
      <c r="D498" s="79" t="s">
        <v>72</v>
      </c>
      <c r="E498" s="79" t="s">
        <v>74</v>
      </c>
      <c r="F498" s="79"/>
      <c r="G498" s="79"/>
      <c r="H498" s="79"/>
      <c r="I498" s="79"/>
      <c r="J498" s="80"/>
      <c r="K498" s="91">
        <f>AJ484</f>
        <v>14</v>
      </c>
      <c r="L498" s="92"/>
      <c r="M498" s="93"/>
      <c r="N498" s="91">
        <f>AG484</f>
        <v>150</v>
      </c>
      <c r="O498" s="92"/>
      <c r="P498" s="93"/>
      <c r="Q498" s="94">
        <f t="shared" si="12"/>
        <v>4200</v>
      </c>
      <c r="R498" s="95"/>
      <c r="S498" s="95"/>
      <c r="T498" s="96"/>
      <c r="U498" s="97">
        <f>-(AG472*1000-N498)/2</f>
        <v>-1225</v>
      </c>
      <c r="V498" s="98"/>
      <c r="W498" s="98"/>
      <c r="X498" s="99"/>
      <c r="Y498" s="94">
        <f t="shared" si="13"/>
        <v>-5145000</v>
      </c>
      <c r="Z498" s="95"/>
      <c r="AA498" s="95"/>
      <c r="AB498" s="95"/>
      <c r="AC498" s="96"/>
      <c r="AD498" s="94">
        <f t="shared" si="14"/>
        <v>6302625000</v>
      </c>
      <c r="AE498" s="95"/>
      <c r="AF498" s="95"/>
      <c r="AG498" s="95"/>
      <c r="AH498" s="95"/>
      <c r="AI498" s="96"/>
      <c r="AJ498" s="94">
        <f>C498*K498*POWER(N498,3)/12</f>
        <v>7875000</v>
      </c>
      <c r="AK498" s="95"/>
      <c r="AL498" s="95"/>
      <c r="AM498" s="95"/>
      <c r="AN498" s="95"/>
      <c r="AO498" s="96"/>
      <c r="AS498" s="3"/>
      <c r="AT498" s="3"/>
      <c r="AU498" s="3"/>
      <c r="AV498" s="3"/>
      <c r="AW498" s="3"/>
      <c r="AX498" s="3"/>
    </row>
    <row r="499" spans="3:50" ht="18" customHeight="1">
      <c r="C499" s="102">
        <v>1</v>
      </c>
      <c r="D499" s="103" t="s">
        <v>72</v>
      </c>
      <c r="E499" s="103" t="s">
        <v>139</v>
      </c>
      <c r="F499" s="103"/>
      <c r="G499" s="103"/>
      <c r="H499" s="103"/>
      <c r="I499" s="103"/>
      <c r="J499" s="104"/>
      <c r="K499" s="97">
        <f>AG481*1000</f>
        <v>10</v>
      </c>
      <c r="L499" s="81"/>
      <c r="M499" s="86"/>
      <c r="N499" s="97">
        <f>AG472/COS(RADIANS(F479))*1000</f>
        <v>2604.3233286210834</v>
      </c>
      <c r="O499" s="81"/>
      <c r="P499" s="86"/>
      <c r="Q499" s="105">
        <f t="shared" si="12"/>
        <v>26043.233286210834</v>
      </c>
      <c r="R499" s="106"/>
      <c r="S499" s="106"/>
      <c r="T499" s="107"/>
      <c r="U499" s="97">
        <v>0</v>
      </c>
      <c r="V499" s="98"/>
      <c r="W499" s="98"/>
      <c r="X499" s="99"/>
      <c r="Y499" s="108">
        <f t="shared" si="13"/>
        <v>0</v>
      </c>
      <c r="Z499" s="109"/>
      <c r="AA499" s="109"/>
      <c r="AB499" s="109"/>
      <c r="AC499" s="110"/>
      <c r="AD499" s="108">
        <f t="shared" si="14"/>
        <v>0</v>
      </c>
      <c r="AE499" s="109"/>
      <c r="AF499" s="109"/>
      <c r="AG499" s="109"/>
      <c r="AH499" s="109"/>
      <c r="AI499" s="110"/>
      <c r="AJ499" s="108">
        <f>C500*K500*N500/12*((N500*COS(RADIANS(F479)))^2+(K500*SIN(RADIANS(F479)))^2)</f>
        <v>14671022137.85546</v>
      </c>
      <c r="AK499" s="109"/>
      <c r="AL499" s="109"/>
      <c r="AM499" s="109"/>
      <c r="AN499" s="109"/>
      <c r="AO499" s="110"/>
      <c r="AS499" s="3"/>
      <c r="AT499" s="3"/>
      <c r="AU499" s="3"/>
      <c r="AV499" s="3"/>
      <c r="AW499" s="3"/>
      <c r="AX499" s="3"/>
    </row>
    <row r="500" spans="3:50" ht="18" customHeight="1">
      <c r="C500" s="102">
        <v>1</v>
      </c>
      <c r="D500" s="103" t="s">
        <v>72</v>
      </c>
      <c r="E500" s="103" t="s">
        <v>140</v>
      </c>
      <c r="F500" s="103"/>
      <c r="G500" s="103"/>
      <c r="H500" s="103"/>
      <c r="I500" s="103"/>
      <c r="J500" s="104"/>
      <c r="K500" s="97">
        <f>AG481*1000</f>
        <v>10</v>
      </c>
      <c r="L500" s="81"/>
      <c r="M500" s="86"/>
      <c r="N500" s="97">
        <f>AG472/COS(RADIANS(X479))*1000</f>
        <v>2604.3233286210834</v>
      </c>
      <c r="O500" s="81"/>
      <c r="P500" s="86"/>
      <c r="Q500" s="105">
        <f t="shared" si="12"/>
        <v>26043.233286210834</v>
      </c>
      <c r="R500" s="106"/>
      <c r="S500" s="106"/>
      <c r="T500" s="107"/>
      <c r="U500" s="97">
        <v>0</v>
      </c>
      <c r="V500" s="98"/>
      <c r="W500" s="98"/>
      <c r="X500" s="99"/>
      <c r="Y500" s="108">
        <f t="shared" si="13"/>
        <v>0</v>
      </c>
      <c r="Z500" s="109"/>
      <c r="AA500" s="109"/>
      <c r="AB500" s="109"/>
      <c r="AC500" s="110"/>
      <c r="AD500" s="108">
        <f t="shared" si="14"/>
        <v>0</v>
      </c>
      <c r="AE500" s="109"/>
      <c r="AF500" s="109"/>
      <c r="AG500" s="109"/>
      <c r="AH500" s="109"/>
      <c r="AI500" s="110"/>
      <c r="AJ500" s="108">
        <f>C500*K500*N500/12*((N500*COS(RADIANS(X479)))^2+(K500*SIN(RADIANS(X479)))^2)</f>
        <v>14671022137.85546</v>
      </c>
      <c r="AK500" s="109"/>
      <c r="AL500" s="109"/>
      <c r="AM500" s="109"/>
      <c r="AN500" s="109"/>
      <c r="AO500" s="110"/>
      <c r="AS500" s="3"/>
      <c r="AT500" s="3"/>
      <c r="AU500" s="3"/>
      <c r="AV500" s="3"/>
      <c r="AW500" s="3"/>
      <c r="AX500" s="3"/>
    </row>
    <row r="501" spans="3:41" ht="18" customHeight="1">
      <c r="C501" s="101">
        <v>5</v>
      </c>
      <c r="D501" s="79" t="s">
        <v>72</v>
      </c>
      <c r="E501" s="79" t="s">
        <v>75</v>
      </c>
      <c r="F501" s="79"/>
      <c r="G501" s="79"/>
      <c r="H501" s="79"/>
      <c r="I501" s="79"/>
      <c r="J501" s="80"/>
      <c r="K501" s="91">
        <f>AQ484</f>
        <v>14</v>
      </c>
      <c r="L501" s="92"/>
      <c r="M501" s="93"/>
      <c r="N501" s="91">
        <f>AN484</f>
        <v>150</v>
      </c>
      <c r="O501" s="92"/>
      <c r="P501" s="93"/>
      <c r="Q501" s="94">
        <f t="shared" si="12"/>
        <v>10500</v>
      </c>
      <c r="R501" s="95"/>
      <c r="S501" s="95"/>
      <c r="T501" s="96"/>
      <c r="U501" s="97">
        <f>(AG472*1000-N501)/2</f>
        <v>1225</v>
      </c>
      <c r="V501" s="98"/>
      <c r="W501" s="98"/>
      <c r="X501" s="99"/>
      <c r="Y501" s="94">
        <f t="shared" si="13"/>
        <v>12862500</v>
      </c>
      <c r="Z501" s="95"/>
      <c r="AA501" s="95"/>
      <c r="AB501" s="95"/>
      <c r="AC501" s="96"/>
      <c r="AD501" s="94">
        <f t="shared" si="14"/>
        <v>15756562500</v>
      </c>
      <c r="AE501" s="95"/>
      <c r="AF501" s="95"/>
      <c r="AG501" s="95"/>
      <c r="AH501" s="95"/>
      <c r="AI501" s="96"/>
      <c r="AJ501" s="94">
        <f>C501*K501*POWER(N501,3)/12</f>
        <v>19687500</v>
      </c>
      <c r="AK501" s="95"/>
      <c r="AL501" s="95"/>
      <c r="AM501" s="95"/>
      <c r="AN501" s="95"/>
      <c r="AO501" s="96"/>
    </row>
    <row r="502" spans="3:41" ht="18" customHeight="1">
      <c r="C502" s="90">
        <v>1</v>
      </c>
      <c r="D502" s="79" t="s">
        <v>72</v>
      </c>
      <c r="E502" s="79" t="s">
        <v>76</v>
      </c>
      <c r="F502" s="79"/>
      <c r="G502" s="79"/>
      <c r="H502" s="79"/>
      <c r="I502" s="79"/>
      <c r="J502" s="80"/>
      <c r="K502" s="91">
        <f>AM478*1000</f>
        <v>2007.0000000000002</v>
      </c>
      <c r="L502" s="92"/>
      <c r="M502" s="93"/>
      <c r="N502" s="91">
        <f>AG480*1000</f>
        <v>28</v>
      </c>
      <c r="O502" s="92"/>
      <c r="P502" s="93"/>
      <c r="Q502" s="94">
        <f t="shared" si="12"/>
        <v>56196.00000000001</v>
      </c>
      <c r="R502" s="95"/>
      <c r="S502" s="95"/>
      <c r="T502" s="96"/>
      <c r="U502" s="97">
        <f>(N502+AG472*1000)/2</f>
        <v>1314</v>
      </c>
      <c r="V502" s="98"/>
      <c r="W502" s="98"/>
      <c r="X502" s="99"/>
      <c r="Y502" s="94">
        <f t="shared" si="13"/>
        <v>73841544.00000001</v>
      </c>
      <c r="Z502" s="95"/>
      <c r="AA502" s="95"/>
      <c r="AB502" s="95"/>
      <c r="AC502" s="96"/>
      <c r="AD502" s="94">
        <f t="shared" si="14"/>
        <v>97027788816.00002</v>
      </c>
      <c r="AE502" s="95"/>
      <c r="AF502" s="95"/>
      <c r="AG502" s="95"/>
      <c r="AH502" s="95"/>
      <c r="AI502" s="96"/>
      <c r="AJ502" s="94">
        <f>C502*K502*POWER(N502,3)/12</f>
        <v>3671472.0000000005</v>
      </c>
      <c r="AK502" s="95"/>
      <c r="AL502" s="95"/>
      <c r="AM502" s="95"/>
      <c r="AN502" s="95"/>
      <c r="AO502" s="96"/>
    </row>
    <row r="503" spans="3:41" ht="18" customHeight="1">
      <c r="C503" s="111" t="s">
        <v>141</v>
      </c>
      <c r="D503" s="92"/>
      <c r="E503" s="92"/>
      <c r="F503" s="92"/>
      <c r="G503" s="92"/>
      <c r="H503" s="92"/>
      <c r="I503" s="92"/>
      <c r="J503" s="93"/>
      <c r="K503" s="78"/>
      <c r="L503" s="79"/>
      <c r="M503" s="80"/>
      <c r="N503" s="78"/>
      <c r="O503" s="79"/>
      <c r="P503" s="80"/>
      <c r="Q503" s="112">
        <f>SUM(Q497:Q502)</f>
        <v>184442.46657242166</v>
      </c>
      <c r="R503" s="113"/>
      <c r="S503" s="113"/>
      <c r="T503" s="114"/>
      <c r="U503" s="115"/>
      <c r="V503" s="116"/>
      <c r="W503" s="116"/>
      <c r="X503" s="117"/>
      <c r="Y503" s="94">
        <f>SUM(Y497:Y502)</f>
        <v>800604.0000000149</v>
      </c>
      <c r="Z503" s="95"/>
      <c r="AA503" s="95"/>
      <c r="AB503" s="95"/>
      <c r="AC503" s="96"/>
      <c r="AD503" s="94">
        <f>SUM(AD497:AD502)</f>
        <v>225203566476</v>
      </c>
      <c r="AE503" s="95"/>
      <c r="AF503" s="95"/>
      <c r="AG503" s="95"/>
      <c r="AH503" s="95"/>
      <c r="AI503" s="96"/>
      <c r="AJ503" s="94">
        <f>SUM(AJ497:AJ502)</f>
        <v>29377293634.377586</v>
      </c>
      <c r="AK503" s="95"/>
      <c r="AL503" s="95"/>
      <c r="AM503" s="95"/>
      <c r="AN503" s="95"/>
      <c r="AO503" s="96"/>
    </row>
    <row r="504" spans="7:20" ht="18" customHeight="1">
      <c r="G504" s="118"/>
      <c r="H504" s="118"/>
      <c r="I504" s="118"/>
      <c r="J504" s="118"/>
      <c r="K504" s="3"/>
      <c r="P504" s="119"/>
      <c r="Q504" s="119"/>
      <c r="R504" s="119"/>
      <c r="S504" s="119"/>
      <c r="T504" s="3"/>
    </row>
    <row r="505" spans="7:20" ht="18" customHeight="1">
      <c r="G505" s="118"/>
      <c r="H505" s="118"/>
      <c r="I505" s="118"/>
      <c r="J505" s="118"/>
      <c r="K505" s="3"/>
      <c r="P505" s="119"/>
      <c r="Q505" s="119"/>
      <c r="R505" s="119"/>
      <c r="S505" s="119"/>
      <c r="T505" s="3"/>
    </row>
    <row r="506" ht="18" customHeight="1">
      <c r="A506" s="120" t="s">
        <v>143</v>
      </c>
    </row>
    <row r="517" ht="18" customHeight="1">
      <c r="B517" s="53" t="s">
        <v>144</v>
      </c>
    </row>
    <row r="518" spans="3:32" ht="18" customHeight="1">
      <c r="C518" s="53" t="s">
        <v>77</v>
      </c>
      <c r="L518" s="121">
        <f>AD503</f>
        <v>225203566476</v>
      </c>
      <c r="M518" s="121"/>
      <c r="N518" s="121"/>
      <c r="O518" s="121"/>
      <c r="P518" s="121"/>
      <c r="Q518" s="53" t="s">
        <v>78</v>
      </c>
      <c r="R518" s="122">
        <f>AJ503</f>
        <v>29377293634.377586</v>
      </c>
      <c r="S518" s="122"/>
      <c r="T518" s="122"/>
      <c r="U518" s="122"/>
      <c r="V518" s="122"/>
      <c r="W518" s="122"/>
      <c r="X518" s="122"/>
      <c r="Y518" s="53" t="s">
        <v>79</v>
      </c>
      <c r="Z518" s="121">
        <f>L518+R518</f>
        <v>254580860110.3776</v>
      </c>
      <c r="AA518" s="121"/>
      <c r="AB518" s="121"/>
      <c r="AC518" s="121"/>
      <c r="AD518" s="121"/>
      <c r="AE518" s="121"/>
      <c r="AF518" s="1" t="s">
        <v>158</v>
      </c>
    </row>
    <row r="519" spans="3:30" ht="18" customHeight="1">
      <c r="C519" s="53" t="s">
        <v>80</v>
      </c>
      <c r="L519" s="121">
        <f>Y503</f>
        <v>800604.0000000149</v>
      </c>
      <c r="M519" s="121"/>
      <c r="N519" s="121"/>
      <c r="O519" s="121"/>
      <c r="P519" s="121"/>
      <c r="Q519" s="53" t="s">
        <v>81</v>
      </c>
      <c r="R519" s="121">
        <f>Q503</f>
        <v>184442.46657242166</v>
      </c>
      <c r="S519" s="121"/>
      <c r="T519" s="121"/>
      <c r="U519" s="121"/>
      <c r="V519" s="121"/>
      <c r="W519" s="53" t="s">
        <v>79</v>
      </c>
      <c r="X519" s="123">
        <f>L519/R519</f>
        <v>4.340670643144193</v>
      </c>
      <c r="Y519" s="123"/>
      <c r="Z519" s="123"/>
      <c r="AA519" s="123"/>
      <c r="AB519" s="123"/>
      <c r="AC519" s="123"/>
      <c r="AD519" s="2" t="s">
        <v>145</v>
      </c>
    </row>
    <row r="520" spans="2:43" ht="18" customHeight="1">
      <c r="B520" s="3"/>
      <c r="C520" s="3" t="s">
        <v>82</v>
      </c>
      <c r="D520" s="3"/>
      <c r="E520" s="3"/>
      <c r="F520" s="3"/>
      <c r="G520" s="3"/>
      <c r="H520" s="3"/>
      <c r="I520" s="3"/>
      <c r="J520" s="3"/>
      <c r="K520" s="3"/>
      <c r="L520" s="124">
        <f>Z518</f>
        <v>254580860110.3776</v>
      </c>
      <c r="M520" s="124"/>
      <c r="N520" s="124"/>
      <c r="O520" s="124"/>
      <c r="P520" s="124"/>
      <c r="Q520" s="3" t="s">
        <v>72</v>
      </c>
      <c r="R520" s="124">
        <f>Q503</f>
        <v>184442.46657242166</v>
      </c>
      <c r="S520" s="124"/>
      <c r="T520" s="124"/>
      <c r="U520" s="124"/>
      <c r="V520" s="124"/>
      <c r="W520" s="3" t="s">
        <v>83</v>
      </c>
      <c r="X520" s="125">
        <f>X519</f>
        <v>4.340670643144193</v>
      </c>
      <c r="Y520" s="33"/>
      <c r="Z520" s="33"/>
      <c r="AA520" s="33"/>
      <c r="AB520" s="33"/>
      <c r="AC520" s="3" t="s">
        <v>79</v>
      </c>
      <c r="AD520" s="124">
        <f>L520-R520*X520^2</f>
        <v>254577384952.09802</v>
      </c>
      <c r="AE520" s="124"/>
      <c r="AF520" s="124"/>
      <c r="AG520" s="124"/>
      <c r="AH520" s="124"/>
      <c r="AI520" s="124"/>
      <c r="AJ520" s="1" t="s">
        <v>158</v>
      </c>
      <c r="AK520" s="3"/>
      <c r="AL520" s="3"/>
      <c r="AM520" s="3"/>
      <c r="AN520" s="3"/>
      <c r="AO520" s="3"/>
      <c r="AP520" s="3"/>
      <c r="AQ520" s="3"/>
    </row>
    <row r="521" spans="2:43" ht="18" customHeight="1">
      <c r="B521" s="3"/>
      <c r="C521" s="3" t="s">
        <v>146</v>
      </c>
      <c r="D521" s="3"/>
      <c r="E521" s="3"/>
      <c r="F521" s="3"/>
      <c r="G521" s="3"/>
      <c r="H521" s="3"/>
      <c r="I521" s="3"/>
      <c r="J521" s="3"/>
      <c r="K521" s="3"/>
      <c r="L521" s="3"/>
      <c r="M521" s="126">
        <f>-AG472*1000</f>
        <v>-2600</v>
      </c>
      <c r="N521" s="33"/>
      <c r="O521" s="33"/>
      <c r="P521" s="33"/>
      <c r="Q521" s="3" t="s">
        <v>84</v>
      </c>
      <c r="R521" s="3"/>
      <c r="S521" s="3"/>
      <c r="T521" s="3" t="s">
        <v>147</v>
      </c>
      <c r="U521" s="126">
        <f>N497</f>
        <v>28</v>
      </c>
      <c r="V521" s="33"/>
      <c r="W521" s="3" t="s">
        <v>72</v>
      </c>
      <c r="X521" s="33">
        <f>X520</f>
        <v>4.340670643144193</v>
      </c>
      <c r="Y521" s="33"/>
      <c r="Z521" s="33"/>
      <c r="AA521" s="33"/>
      <c r="AB521" s="33"/>
      <c r="AC521" s="3" t="s">
        <v>79</v>
      </c>
      <c r="AD521" s="33">
        <f>M521/2-U521-X521</f>
        <v>-1332.3406706431442</v>
      </c>
      <c r="AE521" s="33"/>
      <c r="AF521" s="33"/>
      <c r="AG521" s="33"/>
      <c r="AH521" s="33"/>
      <c r="AI521" s="33"/>
      <c r="AJ521" s="2" t="s">
        <v>145</v>
      </c>
      <c r="AK521" s="3"/>
      <c r="AL521" s="3"/>
      <c r="AM521" s="3"/>
      <c r="AN521" s="3"/>
      <c r="AO521" s="3"/>
      <c r="AP521" s="3"/>
      <c r="AQ521" s="3"/>
    </row>
    <row r="522" spans="1:43" ht="18" customHeight="1">
      <c r="A522" s="3"/>
      <c r="B522" s="3"/>
      <c r="C522" s="3" t="s">
        <v>148</v>
      </c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3">
        <f>AD521</f>
        <v>-1332.3406706431442</v>
      </c>
      <c r="Q522" s="33"/>
      <c r="R522" s="33"/>
      <c r="S522" s="33"/>
      <c r="T522" s="33"/>
      <c r="U522" s="3" t="s">
        <v>149</v>
      </c>
      <c r="V522" s="33">
        <f>(AG472+AG479+AG480)*1000</f>
        <v>2656</v>
      </c>
      <c r="W522" s="33"/>
      <c r="X522" s="33"/>
      <c r="Y522" s="33"/>
      <c r="Z522" s="3" t="s">
        <v>79</v>
      </c>
      <c r="AA522" s="33">
        <f>P522+V522</f>
        <v>1323.6593293568558</v>
      </c>
      <c r="AB522" s="33"/>
      <c r="AC522" s="33"/>
      <c r="AD522" s="33"/>
      <c r="AE522" s="33"/>
      <c r="AF522" s="2" t="s">
        <v>145</v>
      </c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</row>
    <row r="523" spans="1:45" ht="18" customHeight="1">
      <c r="A523" s="3"/>
      <c r="B523" s="3"/>
      <c r="C523" s="3" t="s">
        <v>150</v>
      </c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 t="s">
        <v>151</v>
      </c>
      <c r="AB523" s="126">
        <f>((AG473+AM473+AG474)/2+AG481)*(AG472+AG479/2+AG480/2)*1000000</f>
        <v>5939279.999999998</v>
      </c>
      <c r="AC523" s="126"/>
      <c r="AD523" s="126"/>
      <c r="AE523" s="126"/>
      <c r="AF523" s="126"/>
      <c r="AG523" s="3" t="s">
        <v>142</v>
      </c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</row>
    <row r="524" spans="1:45" ht="18" customHeight="1">
      <c r="A524" s="3"/>
      <c r="B524" s="3"/>
      <c r="C524" s="3" t="s">
        <v>55</v>
      </c>
      <c r="D524" s="3"/>
      <c r="E524" s="3"/>
      <c r="F524" s="3"/>
      <c r="G524" s="3"/>
      <c r="H524" s="3"/>
      <c r="I524" s="3"/>
      <c r="J524" s="3"/>
      <c r="K524" s="3"/>
      <c r="L524" s="3"/>
      <c r="M524" s="33">
        <f>AG488*1000000*P522/AD520</f>
        <v>53.52660096410853</v>
      </c>
      <c r="N524" s="33"/>
      <c r="O524" s="33"/>
      <c r="P524" s="33"/>
      <c r="Q524" s="33"/>
      <c r="R524" s="3" t="s">
        <v>101</v>
      </c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</row>
    <row r="525" spans="1:45" ht="18" customHeight="1">
      <c r="A525" s="3"/>
      <c r="B525" s="3"/>
      <c r="C525" s="3" t="s">
        <v>56</v>
      </c>
      <c r="D525" s="3"/>
      <c r="E525" s="3"/>
      <c r="F525" s="3"/>
      <c r="G525" s="3"/>
      <c r="H525" s="3"/>
      <c r="I525" s="3"/>
      <c r="J525" s="3"/>
      <c r="K525" s="3"/>
      <c r="L525" s="3"/>
      <c r="M525" s="33">
        <f>AG488*1000000*AA522/AD520</f>
        <v>-53.1778292864864</v>
      </c>
      <c r="N525" s="33"/>
      <c r="O525" s="33"/>
      <c r="P525" s="33"/>
      <c r="Q525" s="33"/>
      <c r="R525" s="3" t="s">
        <v>101</v>
      </c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</row>
    <row r="526" spans="1:45" ht="18" customHeight="1">
      <c r="A526" s="3"/>
      <c r="B526" s="3"/>
      <c r="C526" s="3" t="s">
        <v>57</v>
      </c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3">
        <f>ABS(AG490)*1000/(Q499+Q500)+ABS(AG492)*1000000/(2*AB523*AG481*1000)</f>
        <v>29.51337435997998</v>
      </c>
      <c r="T526" s="33"/>
      <c r="U526" s="33"/>
      <c r="V526" s="33"/>
      <c r="W526" s="33"/>
      <c r="X526" s="3" t="s">
        <v>101</v>
      </c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</row>
    <row r="527" spans="1:45" ht="18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</row>
    <row r="528" spans="1:45" ht="18" customHeight="1">
      <c r="A528" s="3"/>
      <c r="B528" s="3" t="s">
        <v>58</v>
      </c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</row>
    <row r="529" spans="1:46" ht="18" customHeight="1">
      <c r="A529" s="3"/>
      <c r="B529" s="3"/>
      <c r="C529" s="3" t="s">
        <v>105</v>
      </c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3">
        <f>AG489*1000000/AD520*AD521</f>
        <v>23.77778891249194</v>
      </c>
      <c r="O529" s="33"/>
      <c r="P529" s="33"/>
      <c r="Q529" s="33"/>
      <c r="R529" s="33"/>
      <c r="S529" s="3" t="s">
        <v>101</v>
      </c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61"/>
    </row>
    <row r="530" spans="1:45" ht="18" customHeight="1">
      <c r="A530" s="3"/>
      <c r="B530" s="3"/>
      <c r="C530" s="3" t="s">
        <v>106</v>
      </c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3">
        <f>AG489*1000000/AD520*AA522</f>
        <v>-23.62285624014244</v>
      </c>
      <c r="O530" s="33"/>
      <c r="P530" s="33"/>
      <c r="Q530" s="33"/>
      <c r="R530" s="33"/>
      <c r="S530" s="3" t="s">
        <v>101</v>
      </c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</row>
    <row r="531" spans="1:45" ht="18" customHeight="1">
      <c r="A531" s="3"/>
      <c r="B531" s="3"/>
      <c r="C531" s="3" t="s">
        <v>107</v>
      </c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3">
        <f>ABS(AG491)*1000/(Q499+Q500)+ABS(AG493)*100000/(2*AB523*AG481*100)</f>
        <v>17.448210909828155</v>
      </c>
      <c r="T531" s="33"/>
      <c r="U531" s="33"/>
      <c r="V531" s="33"/>
      <c r="W531" s="33"/>
      <c r="X531" s="3" t="s">
        <v>101</v>
      </c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</row>
    <row r="532" spans="1:45" ht="18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</row>
    <row r="533" spans="1:54" ht="18" customHeight="1">
      <c r="A533" s="3"/>
      <c r="B533" s="3" t="s">
        <v>59</v>
      </c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U533" s="4" t="s">
        <v>159</v>
      </c>
      <c r="AV533" s="4"/>
      <c r="AW533" s="4"/>
      <c r="AX533" s="4"/>
      <c r="AY533" s="4"/>
      <c r="AZ533" s="4"/>
      <c r="BA533" s="4"/>
      <c r="BB533" s="4"/>
    </row>
    <row r="534" spans="1:88" ht="18" customHeight="1">
      <c r="A534" s="3"/>
      <c r="B534" s="3"/>
      <c r="C534" s="3" t="s">
        <v>108</v>
      </c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3">
        <f>ABS((AG490+AG491)*1000/(Q499+Q500))+ABS((AG492+AG493)/(2*AB523*AG481*1000))*1000000</f>
        <v>46.96158526980813</v>
      </c>
      <c r="AA534" s="33"/>
      <c r="AB534" s="33"/>
      <c r="AC534" s="33"/>
      <c r="AD534" s="3" t="s">
        <v>101</v>
      </c>
      <c r="AE534" s="3"/>
      <c r="AF534" s="3" t="s">
        <v>86</v>
      </c>
      <c r="AG534" s="3" t="s">
        <v>87</v>
      </c>
      <c r="AH534" s="3"/>
      <c r="AI534" s="3"/>
      <c r="AJ534" s="127">
        <f>HLOOKUP(AG470,AX534:CJ537,AU534,FALSE)</f>
        <v>120</v>
      </c>
      <c r="AK534" s="33"/>
      <c r="AL534" s="33"/>
      <c r="AM534" s="3" t="s">
        <v>101</v>
      </c>
      <c r="AN534" s="3"/>
      <c r="AO534" s="3"/>
      <c r="AP534" s="3" t="str">
        <f>IF(Z534&lt;AJ534,"O.K.","N.G.")</f>
        <v>O.K.</v>
      </c>
      <c r="AQ534" s="3"/>
      <c r="AR534" s="3"/>
      <c r="AS534" s="3"/>
      <c r="AU534" s="128">
        <f>IF(AG481&lt;=0.04,2,IF(AG481&lt;=0.075,3,4))</f>
        <v>2</v>
      </c>
      <c r="AV534" s="129"/>
      <c r="AW534" s="130"/>
      <c r="AX534" s="25" t="s">
        <v>4</v>
      </c>
      <c r="AY534" s="26"/>
      <c r="AZ534" s="27"/>
      <c r="BA534" s="25" t="s">
        <v>5</v>
      </c>
      <c r="BB534" s="26"/>
      <c r="BC534" s="27"/>
      <c r="BD534" s="25" t="s">
        <v>6</v>
      </c>
      <c r="BE534" s="26"/>
      <c r="BF534" s="27"/>
      <c r="BG534" s="25" t="s">
        <v>7</v>
      </c>
      <c r="BH534" s="26"/>
      <c r="BI534" s="27"/>
      <c r="BJ534" s="25" t="s">
        <v>88</v>
      </c>
      <c r="BK534" s="26"/>
      <c r="BL534" s="27"/>
      <c r="BM534" s="131" t="s">
        <v>8</v>
      </c>
      <c r="BN534" s="132"/>
      <c r="BO534" s="133"/>
      <c r="BP534" s="25" t="s">
        <v>9</v>
      </c>
      <c r="BQ534" s="26"/>
      <c r="BR534" s="27"/>
      <c r="BS534" s="25" t="s">
        <v>10</v>
      </c>
      <c r="BT534" s="26"/>
      <c r="BU534" s="27"/>
      <c r="BV534" s="25" t="s">
        <v>11</v>
      </c>
      <c r="BW534" s="26"/>
      <c r="BX534" s="27"/>
      <c r="BY534" s="131" t="s">
        <v>12</v>
      </c>
      <c r="BZ534" s="132"/>
      <c r="CA534" s="133"/>
      <c r="CB534" s="25" t="s">
        <v>13</v>
      </c>
      <c r="CC534" s="26"/>
      <c r="CD534" s="27"/>
      <c r="CE534" s="25" t="s">
        <v>14</v>
      </c>
      <c r="CF534" s="26"/>
      <c r="CG534" s="27"/>
      <c r="CH534" s="131" t="s">
        <v>15</v>
      </c>
      <c r="CI534" s="132"/>
      <c r="CJ534" s="133"/>
    </row>
    <row r="535" spans="1:88" ht="18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U535" s="19">
        <v>40</v>
      </c>
      <c r="AV535" s="20"/>
      <c r="AW535" s="21"/>
      <c r="AX535" s="19">
        <v>80</v>
      </c>
      <c r="AY535" s="20"/>
      <c r="AZ535" s="21"/>
      <c r="BA535" s="19">
        <f>AX535</f>
        <v>80</v>
      </c>
      <c r="BB535" s="20"/>
      <c r="BC535" s="21"/>
      <c r="BD535" s="19">
        <f>AX535</f>
        <v>80</v>
      </c>
      <c r="BE535" s="20"/>
      <c r="BF535" s="21"/>
      <c r="BG535" s="19">
        <v>80</v>
      </c>
      <c r="BH535" s="20"/>
      <c r="BI535" s="21"/>
      <c r="BJ535" s="19">
        <v>105</v>
      </c>
      <c r="BK535" s="20"/>
      <c r="BL535" s="21"/>
      <c r="BM535" s="19">
        <v>105</v>
      </c>
      <c r="BN535" s="20"/>
      <c r="BO535" s="21"/>
      <c r="BP535" s="19">
        <v>120</v>
      </c>
      <c r="BQ535" s="20"/>
      <c r="BR535" s="21"/>
      <c r="BS535" s="19">
        <f>BP535</f>
        <v>120</v>
      </c>
      <c r="BT535" s="20"/>
      <c r="BU535" s="21"/>
      <c r="BV535" s="19">
        <f>BP535</f>
        <v>120</v>
      </c>
      <c r="BW535" s="20"/>
      <c r="BX535" s="21"/>
      <c r="BY535" s="19">
        <v>120</v>
      </c>
      <c r="BZ535" s="20"/>
      <c r="CA535" s="21"/>
      <c r="CB535" s="19">
        <v>145</v>
      </c>
      <c r="CC535" s="20"/>
      <c r="CD535" s="21"/>
      <c r="CE535" s="19">
        <f>CB535</f>
        <v>145</v>
      </c>
      <c r="CF535" s="20"/>
      <c r="CG535" s="21"/>
      <c r="CH535" s="19">
        <v>145</v>
      </c>
      <c r="CI535" s="20"/>
      <c r="CJ535" s="21"/>
    </row>
    <row r="536" spans="1:88" ht="18" customHeight="1">
      <c r="A536" s="3"/>
      <c r="B536" s="3" t="s">
        <v>60</v>
      </c>
      <c r="C536" s="3"/>
      <c r="D536" s="3"/>
      <c r="E536" s="3"/>
      <c r="F536" s="3"/>
      <c r="G536" s="3"/>
      <c r="H536" s="3"/>
      <c r="I536" s="3"/>
      <c r="J536" s="3"/>
      <c r="K536" s="134"/>
      <c r="L536" s="3"/>
      <c r="M536" s="3"/>
      <c r="N536" s="3"/>
      <c r="O536" s="3"/>
      <c r="P536" s="3"/>
      <c r="Q536" s="3"/>
      <c r="R536" s="3"/>
      <c r="S536" s="3"/>
      <c r="T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U536" s="135" t="s">
        <v>16</v>
      </c>
      <c r="AV536" s="136"/>
      <c r="AW536" s="137"/>
      <c r="AX536" s="19">
        <v>75</v>
      </c>
      <c r="AY536" s="20"/>
      <c r="AZ536" s="21"/>
      <c r="BA536" s="19">
        <f>AX536</f>
        <v>75</v>
      </c>
      <c r="BB536" s="20"/>
      <c r="BC536" s="21"/>
      <c r="BD536" s="19">
        <f>AX536</f>
        <v>75</v>
      </c>
      <c r="BE536" s="20"/>
      <c r="BF536" s="21"/>
      <c r="BG536" s="19">
        <v>80</v>
      </c>
      <c r="BH536" s="20"/>
      <c r="BI536" s="21"/>
      <c r="BJ536" s="19">
        <v>100</v>
      </c>
      <c r="BK536" s="20"/>
      <c r="BL536" s="21"/>
      <c r="BM536" s="19">
        <v>105</v>
      </c>
      <c r="BN536" s="20"/>
      <c r="BO536" s="21"/>
      <c r="BP536" s="19">
        <v>115</v>
      </c>
      <c r="BQ536" s="20"/>
      <c r="BR536" s="21"/>
      <c r="BS536" s="19">
        <f>BP536</f>
        <v>115</v>
      </c>
      <c r="BT536" s="20"/>
      <c r="BU536" s="21"/>
      <c r="BV536" s="19">
        <f>BP536</f>
        <v>115</v>
      </c>
      <c r="BW536" s="20"/>
      <c r="BX536" s="21"/>
      <c r="BY536" s="19">
        <v>120</v>
      </c>
      <c r="BZ536" s="20"/>
      <c r="CA536" s="21"/>
      <c r="CB536" s="19">
        <v>140</v>
      </c>
      <c r="CC536" s="20"/>
      <c r="CD536" s="21"/>
      <c r="CE536" s="19">
        <f>CB536</f>
        <v>140</v>
      </c>
      <c r="CF536" s="20"/>
      <c r="CG536" s="21"/>
      <c r="CH536" s="19">
        <v>145</v>
      </c>
      <c r="CI536" s="20"/>
      <c r="CJ536" s="21"/>
    </row>
    <row r="537" spans="1:88" ht="18" customHeight="1">
      <c r="A537" s="3"/>
      <c r="B537" s="3"/>
      <c r="C537" s="3" t="s">
        <v>160</v>
      </c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U537" s="135" t="s">
        <v>17</v>
      </c>
      <c r="AV537" s="136"/>
      <c r="AW537" s="137"/>
      <c r="AX537" s="19">
        <v>75</v>
      </c>
      <c r="AY537" s="20"/>
      <c r="AZ537" s="21"/>
      <c r="BA537" s="19">
        <f>AX537</f>
        <v>75</v>
      </c>
      <c r="BB537" s="20"/>
      <c r="BC537" s="21"/>
      <c r="BD537" s="19">
        <f>AX537</f>
        <v>75</v>
      </c>
      <c r="BE537" s="20"/>
      <c r="BF537" s="21"/>
      <c r="BG537" s="19">
        <v>80</v>
      </c>
      <c r="BH537" s="20"/>
      <c r="BI537" s="21"/>
      <c r="BJ537" s="19">
        <v>100</v>
      </c>
      <c r="BK537" s="20"/>
      <c r="BL537" s="21"/>
      <c r="BM537" s="19">
        <v>105</v>
      </c>
      <c r="BN537" s="20"/>
      <c r="BO537" s="21"/>
      <c r="BP537" s="19">
        <v>110</v>
      </c>
      <c r="BQ537" s="20"/>
      <c r="BR537" s="21"/>
      <c r="BS537" s="19">
        <f>BP537</f>
        <v>110</v>
      </c>
      <c r="BT537" s="20"/>
      <c r="BU537" s="21"/>
      <c r="BV537" s="19">
        <f>BP537</f>
        <v>110</v>
      </c>
      <c r="BW537" s="20"/>
      <c r="BX537" s="21"/>
      <c r="BY537" s="19">
        <v>120</v>
      </c>
      <c r="BZ537" s="20"/>
      <c r="CA537" s="21"/>
      <c r="CB537" s="19">
        <v>135</v>
      </c>
      <c r="CC537" s="20"/>
      <c r="CD537" s="21"/>
      <c r="CE537" s="19">
        <f>CB537</f>
        <v>135</v>
      </c>
      <c r="CF537" s="20"/>
      <c r="CG537" s="21"/>
      <c r="CH537" s="19">
        <v>145</v>
      </c>
      <c r="CI537" s="20"/>
      <c r="CJ537" s="21"/>
    </row>
    <row r="538" spans="1:57" ht="18" customHeight="1">
      <c r="A538" s="3"/>
      <c r="B538" s="3"/>
      <c r="C538" s="3"/>
      <c r="D538" s="3" t="s">
        <v>79</v>
      </c>
      <c r="E538" s="33">
        <v>0.65</v>
      </c>
      <c r="F538" s="33"/>
      <c r="G538" s="33"/>
      <c r="H538" s="3" t="s">
        <v>83</v>
      </c>
      <c r="I538" s="3" t="s">
        <v>85</v>
      </c>
      <c r="J538" s="126">
        <v>0</v>
      </c>
      <c r="K538" s="33"/>
      <c r="L538" s="3" t="s">
        <v>81</v>
      </c>
      <c r="M538" s="127">
        <f>IF((AG488+AG489)&gt;=0,C498+1,C501+1)</f>
        <v>6</v>
      </c>
      <c r="N538" s="33"/>
      <c r="O538" s="3" t="s">
        <v>161</v>
      </c>
      <c r="P538" s="3" t="s">
        <v>78</v>
      </c>
      <c r="Q538" s="33">
        <v>0.13</v>
      </c>
      <c r="R538" s="33"/>
      <c r="S538" s="33"/>
      <c r="T538" s="3" t="s">
        <v>83</v>
      </c>
      <c r="U538" s="3" t="s">
        <v>85</v>
      </c>
      <c r="V538" s="126">
        <v>0</v>
      </c>
      <c r="W538" s="33"/>
      <c r="X538" s="3" t="s">
        <v>81</v>
      </c>
      <c r="Y538" s="127">
        <f>M538</f>
        <v>6</v>
      </c>
      <c r="Z538" s="33"/>
      <c r="AA538" s="3" t="s">
        <v>89</v>
      </c>
      <c r="AB538" s="3" t="s">
        <v>78</v>
      </c>
      <c r="AC538" s="126">
        <v>1</v>
      </c>
      <c r="AD538" s="33"/>
      <c r="AE538" s="3" t="s">
        <v>79</v>
      </c>
      <c r="AF538" s="33">
        <v>1</v>
      </c>
      <c r="AG538" s="33"/>
      <c r="AH538" s="33"/>
      <c r="AI538" s="3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U538" s="5" t="s">
        <v>162</v>
      </c>
      <c r="AV538" s="5"/>
      <c r="AW538" s="5"/>
      <c r="AX538" s="5"/>
      <c r="AY538" s="5"/>
      <c r="AZ538" s="5"/>
      <c r="BA538" s="5"/>
      <c r="BB538" s="5"/>
      <c r="BC538" s="5"/>
      <c r="BD538" s="5"/>
      <c r="BE538" s="5"/>
    </row>
    <row r="539" spans="1:88" ht="18" customHeight="1">
      <c r="A539" s="3"/>
      <c r="B539" s="3"/>
      <c r="C539" s="3"/>
      <c r="D539" s="3" t="s">
        <v>163</v>
      </c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138"/>
      <c r="AU539" s="19">
        <f>IF(AG480&lt;=0.04,2,IF(AG480&lt;=0.075,3,4))</f>
        <v>2</v>
      </c>
      <c r="AV539" s="20"/>
      <c r="AW539" s="21"/>
      <c r="AX539" s="25" t="s">
        <v>4</v>
      </c>
      <c r="AY539" s="26"/>
      <c r="AZ539" s="27"/>
      <c r="BA539" s="25" t="s">
        <v>5</v>
      </c>
      <c r="BB539" s="26"/>
      <c r="BC539" s="27"/>
      <c r="BD539" s="25" t="s">
        <v>6</v>
      </c>
      <c r="BE539" s="26"/>
      <c r="BF539" s="27"/>
      <c r="BG539" s="25" t="s">
        <v>7</v>
      </c>
      <c r="BH539" s="26"/>
      <c r="BI539" s="27"/>
      <c r="BJ539" s="25" t="s">
        <v>88</v>
      </c>
      <c r="BK539" s="26"/>
      <c r="BL539" s="27"/>
      <c r="BM539" s="131" t="s">
        <v>8</v>
      </c>
      <c r="BN539" s="132"/>
      <c r="BO539" s="133"/>
      <c r="BP539" s="25" t="s">
        <v>9</v>
      </c>
      <c r="BQ539" s="26"/>
      <c r="BR539" s="27"/>
      <c r="BS539" s="25" t="s">
        <v>10</v>
      </c>
      <c r="BT539" s="26"/>
      <c r="BU539" s="27"/>
      <c r="BV539" s="25" t="s">
        <v>11</v>
      </c>
      <c r="BW539" s="26"/>
      <c r="BX539" s="27"/>
      <c r="BY539" s="131" t="s">
        <v>12</v>
      </c>
      <c r="BZ539" s="132"/>
      <c r="CA539" s="133"/>
      <c r="CB539" s="25" t="s">
        <v>13</v>
      </c>
      <c r="CC539" s="26"/>
      <c r="CD539" s="27"/>
      <c r="CE539" s="25" t="s">
        <v>14</v>
      </c>
      <c r="CF539" s="26"/>
      <c r="CG539" s="27"/>
      <c r="CH539" s="131" t="s">
        <v>15</v>
      </c>
      <c r="CI539" s="132"/>
      <c r="CJ539" s="133"/>
    </row>
    <row r="540" spans="1:88" ht="18" customHeight="1">
      <c r="A540" s="3"/>
      <c r="B540" s="3"/>
      <c r="C540" s="3"/>
      <c r="D540" s="3" t="s">
        <v>18</v>
      </c>
      <c r="E540" s="3"/>
      <c r="F540" s="3"/>
      <c r="G540" s="3"/>
      <c r="H540" s="3" t="s">
        <v>19</v>
      </c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138"/>
      <c r="AU540" s="19">
        <v>40</v>
      </c>
      <c r="AV540" s="20"/>
      <c r="AW540" s="21"/>
      <c r="AX540" s="19">
        <v>140</v>
      </c>
      <c r="AY540" s="20"/>
      <c r="AZ540" s="21"/>
      <c r="BA540" s="19">
        <f>AX540</f>
        <v>140</v>
      </c>
      <c r="BB540" s="20"/>
      <c r="BC540" s="21"/>
      <c r="BD540" s="19">
        <f>AX540</f>
        <v>140</v>
      </c>
      <c r="BE540" s="20"/>
      <c r="BF540" s="21"/>
      <c r="BG540" s="19">
        <v>140</v>
      </c>
      <c r="BH540" s="20"/>
      <c r="BI540" s="21"/>
      <c r="BJ540" s="19">
        <v>185</v>
      </c>
      <c r="BK540" s="20"/>
      <c r="BL540" s="21"/>
      <c r="BM540" s="19">
        <f>BJ540</f>
        <v>185</v>
      </c>
      <c r="BN540" s="20"/>
      <c r="BO540" s="21"/>
      <c r="BP540" s="19">
        <v>210</v>
      </c>
      <c r="BQ540" s="20"/>
      <c r="BR540" s="21"/>
      <c r="BS540" s="19">
        <f>BP540</f>
        <v>210</v>
      </c>
      <c r="BT540" s="20"/>
      <c r="BU540" s="21"/>
      <c r="BV540" s="19">
        <f>BP540</f>
        <v>210</v>
      </c>
      <c r="BW540" s="20"/>
      <c r="BX540" s="21"/>
      <c r="BY540" s="19">
        <v>210</v>
      </c>
      <c r="BZ540" s="20"/>
      <c r="CA540" s="21"/>
      <c r="CB540" s="19">
        <v>255</v>
      </c>
      <c r="CC540" s="20"/>
      <c r="CD540" s="21"/>
      <c r="CE540" s="19">
        <f>CB540</f>
        <v>255</v>
      </c>
      <c r="CF540" s="20"/>
      <c r="CG540" s="21"/>
      <c r="CH540" s="19">
        <f>CE540</f>
        <v>255</v>
      </c>
      <c r="CI540" s="20"/>
      <c r="CJ540" s="21"/>
    </row>
    <row r="541" spans="1:88" ht="18" customHeight="1">
      <c r="A541" s="3"/>
      <c r="B541" s="3"/>
      <c r="C541" s="3"/>
      <c r="D541" s="3"/>
      <c r="E541" s="3"/>
      <c r="F541" s="3"/>
      <c r="G541" s="3"/>
      <c r="H541" s="3" t="s">
        <v>20</v>
      </c>
      <c r="I541" s="3"/>
      <c r="J541" s="3"/>
      <c r="K541" s="3"/>
      <c r="L541" s="3"/>
      <c r="M541" s="3"/>
      <c r="N541" s="3"/>
      <c r="O541" s="3"/>
      <c r="P541" s="3"/>
      <c r="Q541" s="3" t="s">
        <v>21</v>
      </c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138"/>
      <c r="AU541" s="135" t="s">
        <v>16</v>
      </c>
      <c r="AV541" s="136"/>
      <c r="AW541" s="137"/>
      <c r="AX541" s="19">
        <v>125</v>
      </c>
      <c r="AY541" s="20"/>
      <c r="AZ541" s="21"/>
      <c r="BA541" s="19">
        <f>AX541</f>
        <v>125</v>
      </c>
      <c r="BB541" s="20"/>
      <c r="BC541" s="21"/>
      <c r="BD541" s="19">
        <f>AX541</f>
        <v>125</v>
      </c>
      <c r="BE541" s="20"/>
      <c r="BF541" s="21"/>
      <c r="BG541" s="19">
        <v>140</v>
      </c>
      <c r="BH541" s="20"/>
      <c r="BI541" s="21"/>
      <c r="BJ541" s="19">
        <v>175</v>
      </c>
      <c r="BK541" s="20"/>
      <c r="BL541" s="21"/>
      <c r="BM541" s="19">
        <f>BM540</f>
        <v>185</v>
      </c>
      <c r="BN541" s="20"/>
      <c r="BO541" s="21"/>
      <c r="BP541" s="19">
        <v>195</v>
      </c>
      <c r="BQ541" s="20"/>
      <c r="BR541" s="21"/>
      <c r="BS541" s="19">
        <f>BP541</f>
        <v>195</v>
      </c>
      <c r="BT541" s="20"/>
      <c r="BU541" s="21"/>
      <c r="BV541" s="19">
        <f>BP541</f>
        <v>195</v>
      </c>
      <c r="BW541" s="20"/>
      <c r="BX541" s="21"/>
      <c r="BY541" s="19">
        <v>210</v>
      </c>
      <c r="BZ541" s="20"/>
      <c r="CA541" s="21"/>
      <c r="CB541" s="19">
        <v>245</v>
      </c>
      <c r="CC541" s="20"/>
      <c r="CD541" s="21"/>
      <c r="CE541" s="19">
        <f>CB541</f>
        <v>245</v>
      </c>
      <c r="CF541" s="20"/>
      <c r="CG541" s="21"/>
      <c r="CH541" s="19">
        <f>CH540</f>
        <v>255</v>
      </c>
      <c r="CI541" s="20"/>
      <c r="CJ541" s="21"/>
    </row>
    <row r="542" spans="1:88" ht="18" customHeight="1">
      <c r="A542" s="3"/>
      <c r="B542" s="3"/>
      <c r="C542" s="3"/>
      <c r="D542" s="3"/>
      <c r="E542" s="3"/>
      <c r="F542" s="3"/>
      <c r="G542" s="3"/>
      <c r="H542" s="3" t="s">
        <v>164</v>
      </c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U542" s="135" t="s">
        <v>17</v>
      </c>
      <c r="AV542" s="136"/>
      <c r="AW542" s="137"/>
      <c r="AX542" s="19">
        <v>125</v>
      </c>
      <c r="AY542" s="20"/>
      <c r="AZ542" s="21"/>
      <c r="BA542" s="19">
        <f>AX542</f>
        <v>125</v>
      </c>
      <c r="BB542" s="20"/>
      <c r="BC542" s="21"/>
      <c r="BD542" s="19">
        <f>AX542</f>
        <v>125</v>
      </c>
      <c r="BE542" s="20"/>
      <c r="BF542" s="21"/>
      <c r="BG542" s="19">
        <v>140</v>
      </c>
      <c r="BH542" s="20"/>
      <c r="BI542" s="21"/>
      <c r="BJ542" s="19">
        <v>175</v>
      </c>
      <c r="BK542" s="20"/>
      <c r="BL542" s="21"/>
      <c r="BM542" s="19">
        <f>BM540</f>
        <v>185</v>
      </c>
      <c r="BN542" s="20"/>
      <c r="BO542" s="21"/>
      <c r="BP542" s="19">
        <v>190</v>
      </c>
      <c r="BQ542" s="20"/>
      <c r="BR542" s="21"/>
      <c r="BS542" s="19">
        <f>BP542</f>
        <v>190</v>
      </c>
      <c r="BT542" s="20"/>
      <c r="BU542" s="21"/>
      <c r="BV542" s="19">
        <f>BP542</f>
        <v>190</v>
      </c>
      <c r="BW542" s="20"/>
      <c r="BX542" s="21"/>
      <c r="BY542" s="19">
        <v>210</v>
      </c>
      <c r="BZ542" s="20"/>
      <c r="CA542" s="21"/>
      <c r="CB542" s="19">
        <v>240</v>
      </c>
      <c r="CC542" s="20"/>
      <c r="CD542" s="21"/>
      <c r="CE542" s="19">
        <f>CB542</f>
        <v>240</v>
      </c>
      <c r="CF542" s="20"/>
      <c r="CG542" s="21"/>
      <c r="CH542" s="19">
        <f>CH540</f>
        <v>255</v>
      </c>
      <c r="CI542" s="20"/>
      <c r="CJ542" s="21"/>
    </row>
    <row r="543" spans="1:57" ht="18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 t="s">
        <v>165</v>
      </c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6"/>
      <c r="AU543" s="5" t="s">
        <v>166</v>
      </c>
      <c r="AV543" s="5"/>
      <c r="AW543" s="5"/>
      <c r="AX543" s="5"/>
      <c r="AY543" s="5"/>
      <c r="AZ543" s="5"/>
      <c r="BA543" s="5"/>
      <c r="BB543" s="5"/>
      <c r="BC543" s="5"/>
      <c r="BD543" s="5"/>
      <c r="BE543" s="5"/>
    </row>
    <row r="544" spans="1:88" ht="18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7"/>
      <c r="AU544" s="19">
        <f>IF(AG479&lt;=0.04,2,IF(AG479&lt;=0.075,3,4))</f>
        <v>2</v>
      </c>
      <c r="AV544" s="20"/>
      <c r="AW544" s="21"/>
      <c r="AX544" s="25" t="s">
        <v>4</v>
      </c>
      <c r="AY544" s="26"/>
      <c r="AZ544" s="27"/>
      <c r="BA544" s="25" t="s">
        <v>5</v>
      </c>
      <c r="BB544" s="26"/>
      <c r="BC544" s="27"/>
      <c r="BD544" s="25" t="s">
        <v>6</v>
      </c>
      <c r="BE544" s="26"/>
      <c r="BF544" s="27"/>
      <c r="BG544" s="25" t="s">
        <v>7</v>
      </c>
      <c r="BH544" s="26"/>
      <c r="BI544" s="27"/>
      <c r="BJ544" s="25" t="s">
        <v>88</v>
      </c>
      <c r="BK544" s="26"/>
      <c r="BL544" s="27"/>
      <c r="BM544" s="131" t="s">
        <v>8</v>
      </c>
      <c r="BN544" s="132"/>
      <c r="BO544" s="133"/>
      <c r="BP544" s="25" t="s">
        <v>9</v>
      </c>
      <c r="BQ544" s="26"/>
      <c r="BR544" s="27"/>
      <c r="BS544" s="25" t="s">
        <v>10</v>
      </c>
      <c r="BT544" s="26"/>
      <c r="BU544" s="27"/>
      <c r="BV544" s="25" t="s">
        <v>11</v>
      </c>
      <c r="BW544" s="26"/>
      <c r="BX544" s="27"/>
      <c r="BY544" s="131" t="s">
        <v>12</v>
      </c>
      <c r="BZ544" s="132"/>
      <c r="CA544" s="133"/>
      <c r="CB544" s="25" t="s">
        <v>13</v>
      </c>
      <c r="CC544" s="26"/>
      <c r="CD544" s="27"/>
      <c r="CE544" s="25" t="s">
        <v>14</v>
      </c>
      <c r="CF544" s="26"/>
      <c r="CG544" s="27"/>
      <c r="CH544" s="131" t="s">
        <v>15</v>
      </c>
      <c r="CI544" s="132"/>
      <c r="CJ544" s="133"/>
    </row>
    <row r="545" spans="1:88" ht="18" customHeight="1">
      <c r="A545" s="3"/>
      <c r="B545" s="3"/>
      <c r="C545" s="3" t="s">
        <v>22</v>
      </c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 t="s">
        <v>85</v>
      </c>
      <c r="S545" s="33" t="str">
        <f>AG470</f>
        <v>SMA490</v>
      </c>
      <c r="T545" s="33"/>
      <c r="U545" s="33"/>
      <c r="V545" s="33"/>
      <c r="W545" s="3" t="s">
        <v>23</v>
      </c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139"/>
      <c r="AU545" s="19">
        <v>40</v>
      </c>
      <c r="AV545" s="20"/>
      <c r="AW545" s="21"/>
      <c r="AX545" s="19">
        <v>140</v>
      </c>
      <c r="AY545" s="20"/>
      <c r="AZ545" s="21"/>
      <c r="BA545" s="19">
        <f>AX545</f>
        <v>140</v>
      </c>
      <c r="BB545" s="20"/>
      <c r="BC545" s="21"/>
      <c r="BD545" s="19">
        <f>AX545</f>
        <v>140</v>
      </c>
      <c r="BE545" s="20"/>
      <c r="BF545" s="21"/>
      <c r="BG545" s="19">
        <v>140</v>
      </c>
      <c r="BH545" s="20"/>
      <c r="BI545" s="21"/>
      <c r="BJ545" s="19">
        <v>185</v>
      </c>
      <c r="BK545" s="20"/>
      <c r="BL545" s="21"/>
      <c r="BM545" s="19">
        <f>BJ545</f>
        <v>185</v>
      </c>
      <c r="BN545" s="20"/>
      <c r="BO545" s="21"/>
      <c r="BP545" s="19">
        <v>210</v>
      </c>
      <c r="BQ545" s="20"/>
      <c r="BR545" s="21"/>
      <c r="BS545" s="19">
        <f>BP545</f>
        <v>210</v>
      </c>
      <c r="BT545" s="20"/>
      <c r="BU545" s="21"/>
      <c r="BV545" s="19">
        <f>BP545</f>
        <v>210</v>
      </c>
      <c r="BW545" s="20"/>
      <c r="BX545" s="21"/>
      <c r="BY545" s="19">
        <v>210</v>
      </c>
      <c r="BZ545" s="20"/>
      <c r="CA545" s="21"/>
      <c r="CB545" s="19">
        <v>255</v>
      </c>
      <c r="CC545" s="20"/>
      <c r="CD545" s="21"/>
      <c r="CE545" s="19">
        <f>CB545</f>
        <v>255</v>
      </c>
      <c r="CF545" s="20"/>
      <c r="CG545" s="21"/>
      <c r="CH545" s="19">
        <f>CE545</f>
        <v>255</v>
      </c>
      <c r="CI545" s="20"/>
      <c r="CJ545" s="21"/>
    </row>
    <row r="546" spans="1:88" ht="18" customHeight="1">
      <c r="A546" s="3"/>
      <c r="B546" s="3"/>
      <c r="C546" s="3"/>
      <c r="D546" s="3"/>
      <c r="E546" s="3" t="s">
        <v>90</v>
      </c>
      <c r="F546" s="3"/>
      <c r="G546" s="3"/>
      <c r="H546" s="126">
        <f>HLOOKUP(S545,AX539:CJ542,AU539,FALSE)</f>
        <v>210</v>
      </c>
      <c r="I546" s="126"/>
      <c r="J546" s="126"/>
      <c r="K546" s="126"/>
      <c r="L546" s="3" t="s">
        <v>101</v>
      </c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U546" s="135" t="s">
        <v>16</v>
      </c>
      <c r="AV546" s="136"/>
      <c r="AW546" s="137"/>
      <c r="AX546" s="19">
        <v>125</v>
      </c>
      <c r="AY546" s="20"/>
      <c r="AZ546" s="21"/>
      <c r="BA546" s="19">
        <f>AX546</f>
        <v>125</v>
      </c>
      <c r="BB546" s="20"/>
      <c r="BC546" s="21"/>
      <c r="BD546" s="19">
        <f>AX546</f>
        <v>125</v>
      </c>
      <c r="BE546" s="20"/>
      <c r="BF546" s="21"/>
      <c r="BG546" s="19">
        <v>140</v>
      </c>
      <c r="BH546" s="20"/>
      <c r="BI546" s="21"/>
      <c r="BJ546" s="19">
        <v>175</v>
      </c>
      <c r="BK546" s="20"/>
      <c r="BL546" s="21"/>
      <c r="BM546" s="19">
        <f>BM545</f>
        <v>185</v>
      </c>
      <c r="BN546" s="20"/>
      <c r="BO546" s="21"/>
      <c r="BP546" s="19">
        <v>195</v>
      </c>
      <c r="BQ546" s="20"/>
      <c r="BR546" s="21"/>
      <c r="BS546" s="19">
        <f>BP546</f>
        <v>195</v>
      </c>
      <c r="BT546" s="20"/>
      <c r="BU546" s="21"/>
      <c r="BV546" s="19">
        <f>BP546</f>
        <v>195</v>
      </c>
      <c r="BW546" s="20"/>
      <c r="BX546" s="21"/>
      <c r="BY546" s="19">
        <v>210</v>
      </c>
      <c r="BZ546" s="20"/>
      <c r="CA546" s="21"/>
      <c r="CB546" s="19">
        <v>245</v>
      </c>
      <c r="CC546" s="20"/>
      <c r="CD546" s="21"/>
      <c r="CE546" s="19">
        <f>CB546</f>
        <v>245</v>
      </c>
      <c r="CF546" s="20"/>
      <c r="CG546" s="21"/>
      <c r="CH546" s="19">
        <f>CH545</f>
        <v>255</v>
      </c>
      <c r="CI546" s="20"/>
      <c r="CJ546" s="21"/>
    </row>
    <row r="547" spans="1:88" ht="18" customHeight="1">
      <c r="A547" s="3"/>
      <c r="B547" s="3"/>
      <c r="C547" s="3" t="s">
        <v>24</v>
      </c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 t="s">
        <v>85</v>
      </c>
      <c r="S547" s="33" t="str">
        <f>S545</f>
        <v>SMA490</v>
      </c>
      <c r="T547" s="33"/>
      <c r="U547" s="33"/>
      <c r="V547" s="33"/>
      <c r="W547" s="3" t="s">
        <v>23</v>
      </c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U547" s="135" t="s">
        <v>17</v>
      </c>
      <c r="AV547" s="136"/>
      <c r="AW547" s="137"/>
      <c r="AX547" s="19">
        <v>125</v>
      </c>
      <c r="AY547" s="20"/>
      <c r="AZ547" s="21"/>
      <c r="BA547" s="19">
        <f>AX547</f>
        <v>125</v>
      </c>
      <c r="BB547" s="20"/>
      <c r="BC547" s="21"/>
      <c r="BD547" s="19">
        <f>AX547</f>
        <v>125</v>
      </c>
      <c r="BE547" s="20"/>
      <c r="BF547" s="21"/>
      <c r="BG547" s="19">
        <v>140</v>
      </c>
      <c r="BH547" s="20"/>
      <c r="BI547" s="21"/>
      <c r="BJ547" s="19">
        <v>175</v>
      </c>
      <c r="BK547" s="20"/>
      <c r="BL547" s="21"/>
      <c r="BM547" s="19">
        <f>BM545</f>
        <v>185</v>
      </c>
      <c r="BN547" s="20"/>
      <c r="BO547" s="21"/>
      <c r="BP547" s="19">
        <v>190</v>
      </c>
      <c r="BQ547" s="20"/>
      <c r="BR547" s="21"/>
      <c r="BS547" s="19">
        <f>BP547</f>
        <v>190</v>
      </c>
      <c r="BT547" s="20"/>
      <c r="BU547" s="21"/>
      <c r="BV547" s="19">
        <f>BP547</f>
        <v>190</v>
      </c>
      <c r="BW547" s="20"/>
      <c r="BX547" s="21"/>
      <c r="BY547" s="19">
        <v>210</v>
      </c>
      <c r="BZ547" s="20"/>
      <c r="CA547" s="21"/>
      <c r="CB547" s="19">
        <v>240</v>
      </c>
      <c r="CC547" s="20"/>
      <c r="CD547" s="21"/>
      <c r="CE547" s="19">
        <f>CB547</f>
        <v>240</v>
      </c>
      <c r="CF547" s="20"/>
      <c r="CG547" s="21"/>
      <c r="CH547" s="19">
        <f>CH545</f>
        <v>255</v>
      </c>
      <c r="CI547" s="20"/>
      <c r="CJ547" s="21"/>
    </row>
    <row r="548" spans="1:58" ht="18" customHeight="1">
      <c r="A548" s="3"/>
      <c r="B548" s="3"/>
      <c r="C548" s="3"/>
      <c r="D548" s="3"/>
      <c r="E548" s="33" t="s">
        <v>167</v>
      </c>
      <c r="F548" s="33"/>
      <c r="G548" s="33"/>
      <c r="H548" s="33"/>
      <c r="I548" s="33"/>
      <c r="J548" s="140"/>
      <c r="K548" s="141" t="s">
        <v>91</v>
      </c>
      <c r="L548" s="141"/>
      <c r="M548" s="140"/>
      <c r="N548" s="140"/>
      <c r="O548" s="3"/>
      <c r="P548" s="33" t="s">
        <v>79</v>
      </c>
      <c r="Q548" s="3"/>
      <c r="R548" s="140"/>
      <c r="S548" s="140"/>
      <c r="T548" s="142">
        <f>(AG473+AM473)*1000</f>
        <v>2400</v>
      </c>
      <c r="U548" s="141"/>
      <c r="V548" s="141"/>
      <c r="W548" s="140"/>
      <c r="X548" s="140"/>
      <c r="Y548" s="140"/>
      <c r="Z548" s="140"/>
      <c r="AA548" s="33" t="s">
        <v>79</v>
      </c>
      <c r="AB548" s="33"/>
      <c r="AC548" s="126">
        <f>T548/(R549*U549*Y549)</f>
        <v>36.36363636363637</v>
      </c>
      <c r="AD548" s="126"/>
      <c r="AE548" s="126"/>
      <c r="AF548" s="33" t="s">
        <v>71</v>
      </c>
      <c r="AG548" s="3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U548" s="5" t="s">
        <v>168</v>
      </c>
      <c r="AV548" s="5"/>
      <c r="AW548" s="5"/>
      <c r="AX548" s="5"/>
      <c r="AY548" s="5"/>
      <c r="AZ548" s="5"/>
      <c r="BA548" s="8"/>
      <c r="BB548" s="8"/>
      <c r="BC548" s="8"/>
      <c r="BD548" s="8"/>
      <c r="BE548" s="8"/>
      <c r="BF548" s="3"/>
    </row>
    <row r="549" spans="1:88" ht="18" customHeight="1">
      <c r="A549" s="3"/>
      <c r="B549" s="3"/>
      <c r="C549" s="3"/>
      <c r="D549" s="3"/>
      <c r="E549" s="33"/>
      <c r="F549" s="33"/>
      <c r="G549" s="33"/>
      <c r="H549" s="33"/>
      <c r="I549" s="33"/>
      <c r="J549" s="143">
        <f>HLOOKUP(S547,AX549:CJ552,AU550,FALSE)</f>
        <v>22</v>
      </c>
      <c r="K549" s="144"/>
      <c r="L549" s="3" t="s">
        <v>92</v>
      </c>
      <c r="M549" s="3"/>
      <c r="N549" s="3"/>
      <c r="O549" s="3"/>
      <c r="P549" s="33"/>
      <c r="Q549" s="3"/>
      <c r="R549" s="143">
        <f>J549</f>
        <v>22</v>
      </c>
      <c r="S549" s="144"/>
      <c r="T549" s="3" t="s">
        <v>83</v>
      </c>
      <c r="U549" s="144">
        <f>AF538</f>
        <v>1</v>
      </c>
      <c r="V549" s="144"/>
      <c r="W549" s="144"/>
      <c r="X549" s="3" t="s">
        <v>83</v>
      </c>
      <c r="Y549" s="143">
        <f>C498+1</f>
        <v>3</v>
      </c>
      <c r="Z549" s="144"/>
      <c r="AA549" s="33"/>
      <c r="AB549" s="33"/>
      <c r="AC549" s="126"/>
      <c r="AD549" s="126"/>
      <c r="AE549" s="126"/>
      <c r="AF549" s="33"/>
      <c r="AG549" s="3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U549" s="19">
        <f>AU544</f>
        <v>2</v>
      </c>
      <c r="AV549" s="20"/>
      <c r="AW549" s="21"/>
      <c r="AX549" s="25" t="s">
        <v>4</v>
      </c>
      <c r="AY549" s="26"/>
      <c r="AZ549" s="27"/>
      <c r="BA549" s="28" t="s">
        <v>5</v>
      </c>
      <c r="BB549" s="29"/>
      <c r="BC549" s="30"/>
      <c r="BD549" s="28" t="s">
        <v>6</v>
      </c>
      <c r="BE549" s="29"/>
      <c r="BF549" s="30"/>
      <c r="BG549" s="25" t="s">
        <v>7</v>
      </c>
      <c r="BH549" s="26"/>
      <c r="BI549" s="27"/>
      <c r="BJ549" s="25" t="s">
        <v>88</v>
      </c>
      <c r="BK549" s="26"/>
      <c r="BL549" s="27"/>
      <c r="BM549" s="131" t="s">
        <v>8</v>
      </c>
      <c r="BN549" s="132"/>
      <c r="BO549" s="133"/>
      <c r="BP549" s="25" t="s">
        <v>9</v>
      </c>
      <c r="BQ549" s="26"/>
      <c r="BR549" s="27"/>
      <c r="BS549" s="25" t="s">
        <v>10</v>
      </c>
      <c r="BT549" s="26"/>
      <c r="BU549" s="27"/>
      <c r="BV549" s="25" t="s">
        <v>11</v>
      </c>
      <c r="BW549" s="26"/>
      <c r="BX549" s="27"/>
      <c r="BY549" s="131" t="s">
        <v>12</v>
      </c>
      <c r="BZ549" s="132"/>
      <c r="CA549" s="133"/>
      <c r="CB549" s="25" t="s">
        <v>13</v>
      </c>
      <c r="CC549" s="26"/>
      <c r="CD549" s="27"/>
      <c r="CE549" s="25" t="s">
        <v>14</v>
      </c>
      <c r="CF549" s="26"/>
      <c r="CG549" s="27"/>
      <c r="CH549" s="131" t="s">
        <v>15</v>
      </c>
      <c r="CI549" s="132"/>
      <c r="CJ549" s="133"/>
    </row>
    <row r="550" spans="1:88" ht="18" customHeight="1">
      <c r="A550" s="3"/>
      <c r="B550" s="3"/>
      <c r="C550" s="3"/>
      <c r="D550" s="3"/>
      <c r="E550" s="3"/>
      <c r="F550" s="3"/>
      <c r="G550" s="3" t="s">
        <v>25</v>
      </c>
      <c r="H550" s="3"/>
      <c r="I550" s="3"/>
      <c r="J550" s="3"/>
      <c r="K550" s="3"/>
      <c r="L550" s="3"/>
      <c r="M550" s="3"/>
      <c r="N550" s="3"/>
      <c r="O550" s="65">
        <f>HLOOKUP(S547,AX544:CJ547,AU544,FALSE)</f>
        <v>210</v>
      </c>
      <c r="P550" s="65"/>
      <c r="Q550" s="65"/>
      <c r="R550" s="65"/>
      <c r="S550" s="3" t="s">
        <v>101</v>
      </c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U550" s="19">
        <v>2</v>
      </c>
      <c r="AV550" s="20"/>
      <c r="AW550" s="21"/>
      <c r="AX550" s="16">
        <v>28</v>
      </c>
      <c r="AY550" s="16"/>
      <c r="AZ550" s="16"/>
      <c r="BA550" s="18">
        <f>AX550</f>
        <v>28</v>
      </c>
      <c r="BB550" s="18"/>
      <c r="BC550" s="18"/>
      <c r="BD550" s="18">
        <f>AX550</f>
        <v>28</v>
      </c>
      <c r="BE550" s="18"/>
      <c r="BF550" s="18"/>
      <c r="BG550" s="16">
        <f>BA550</f>
        <v>28</v>
      </c>
      <c r="BH550" s="16"/>
      <c r="BI550" s="16"/>
      <c r="BJ550" s="17">
        <v>24</v>
      </c>
      <c r="BK550" s="17"/>
      <c r="BL550" s="17"/>
      <c r="BM550" s="17">
        <f>BJ550</f>
        <v>24</v>
      </c>
      <c r="BN550" s="17"/>
      <c r="BO550" s="17"/>
      <c r="BP550" s="17">
        <v>22</v>
      </c>
      <c r="BQ550" s="17"/>
      <c r="BR550" s="17"/>
      <c r="BS550" s="17">
        <f>BP550</f>
        <v>22</v>
      </c>
      <c r="BT550" s="17"/>
      <c r="BU550" s="17"/>
      <c r="BV550" s="17">
        <f>BP550</f>
        <v>22</v>
      </c>
      <c r="BW550" s="17"/>
      <c r="BX550" s="17"/>
      <c r="BY550" s="16">
        <f>BP550</f>
        <v>22</v>
      </c>
      <c r="BZ550" s="16"/>
      <c r="CA550" s="16"/>
      <c r="CB550" s="16">
        <v>22</v>
      </c>
      <c r="CC550" s="16"/>
      <c r="CD550" s="16"/>
      <c r="CE550" s="16">
        <f>CB550</f>
        <v>22</v>
      </c>
      <c r="CF550" s="16"/>
      <c r="CG550" s="16"/>
      <c r="CH550" s="16">
        <f>CB550</f>
        <v>22</v>
      </c>
      <c r="CI550" s="16"/>
      <c r="CJ550" s="16"/>
    </row>
    <row r="551" spans="1:88" ht="18" customHeight="1">
      <c r="A551" s="3"/>
      <c r="B551" s="3"/>
      <c r="C551" s="3"/>
      <c r="D551" s="3"/>
      <c r="E551" s="140"/>
      <c r="F551" s="141" t="s">
        <v>91</v>
      </c>
      <c r="G551" s="141"/>
      <c r="H551" s="140"/>
      <c r="I551" s="3"/>
      <c r="J551" s="33" t="s">
        <v>93</v>
      </c>
      <c r="K551" s="33" t="s">
        <v>167</v>
      </c>
      <c r="L551" s="33"/>
      <c r="M551" s="33"/>
      <c r="N551" s="33"/>
      <c r="O551" s="33"/>
      <c r="P551" s="140"/>
      <c r="Q551" s="141" t="s">
        <v>91</v>
      </c>
      <c r="R551" s="141"/>
      <c r="S551" s="140"/>
      <c r="T551" s="3"/>
      <c r="U551" s="33" t="s">
        <v>79</v>
      </c>
      <c r="V551" s="140"/>
      <c r="W551" s="140"/>
      <c r="X551" s="142">
        <f>(AG473+AM473)*1000</f>
        <v>2400</v>
      </c>
      <c r="Y551" s="141"/>
      <c r="Z551" s="141"/>
      <c r="AA551" s="140"/>
      <c r="AB551" s="140"/>
      <c r="AC551" s="140"/>
      <c r="AD551" s="140"/>
      <c r="AE551" s="33" t="s">
        <v>79</v>
      </c>
      <c r="AF551" s="126">
        <f>X551/(V552*Y552*AC552)</f>
        <v>17.391304347826086</v>
      </c>
      <c r="AG551" s="126"/>
      <c r="AH551" s="126"/>
      <c r="AI551" s="33" t="s">
        <v>71</v>
      </c>
      <c r="AJ551" s="33"/>
      <c r="AK551" s="3"/>
      <c r="AL551" s="3"/>
      <c r="AM551" s="3"/>
      <c r="AN551" s="3"/>
      <c r="AO551" s="3"/>
      <c r="AP551" s="3"/>
      <c r="AQ551" s="3"/>
      <c r="AR551" s="3"/>
      <c r="AS551" s="3"/>
      <c r="AU551" s="19">
        <v>3</v>
      </c>
      <c r="AV551" s="20"/>
      <c r="AW551" s="21"/>
      <c r="AX551" s="22">
        <f>IF(AU549=2,2.6,2.1)</f>
        <v>2.6</v>
      </c>
      <c r="AY551" s="22"/>
      <c r="AZ551" s="22"/>
      <c r="BA551" s="24">
        <f>AX551</f>
        <v>2.6</v>
      </c>
      <c r="BB551" s="24"/>
      <c r="BC551" s="24"/>
      <c r="BD551" s="24">
        <f>AX551</f>
        <v>2.6</v>
      </c>
      <c r="BE551" s="24"/>
      <c r="BF551" s="24"/>
      <c r="BG551" s="22">
        <f>BA551</f>
        <v>2.6</v>
      </c>
      <c r="BH551" s="22"/>
      <c r="BI551" s="22"/>
      <c r="BJ551" s="23">
        <f>IF(AU549=2,3.9,3.5)</f>
        <v>3.9</v>
      </c>
      <c r="BK551" s="23"/>
      <c r="BL551" s="23"/>
      <c r="BM551" s="23">
        <f>BJ551</f>
        <v>3.9</v>
      </c>
      <c r="BN551" s="23"/>
      <c r="BO551" s="23"/>
      <c r="BP551" s="23">
        <f>IF(AU549=2,4.6,IF(AU549=3,4,3.7))</f>
        <v>4.6</v>
      </c>
      <c r="BQ551" s="23"/>
      <c r="BR551" s="23"/>
      <c r="BS551" s="23">
        <f>BP551</f>
        <v>4.6</v>
      </c>
      <c r="BT551" s="23"/>
      <c r="BU551" s="23"/>
      <c r="BV551" s="23">
        <f>BP551</f>
        <v>4.6</v>
      </c>
      <c r="BW551" s="23"/>
      <c r="BX551" s="23"/>
      <c r="BY551" s="22">
        <f>BP551</f>
        <v>4.6</v>
      </c>
      <c r="BZ551" s="22"/>
      <c r="CA551" s="22"/>
      <c r="CB551" s="22">
        <f>IF(AU549=2,6.9,IF(AU549=3,6.2,6))</f>
        <v>6.9</v>
      </c>
      <c r="CC551" s="22"/>
      <c r="CD551" s="22"/>
      <c r="CE551" s="22">
        <f>CB551</f>
        <v>6.9</v>
      </c>
      <c r="CF551" s="22"/>
      <c r="CG551" s="22"/>
      <c r="CH551" s="22">
        <f>CB551</f>
        <v>6.9</v>
      </c>
      <c r="CI551" s="22"/>
      <c r="CJ551" s="22"/>
    </row>
    <row r="552" spans="1:88" ht="18" customHeight="1">
      <c r="A552" s="3"/>
      <c r="B552" s="3"/>
      <c r="C552" s="3"/>
      <c r="D552" s="3"/>
      <c r="E552" s="143">
        <f>HLOOKUP(S547,AX549:CJ552,AU550,FALSE)</f>
        <v>22</v>
      </c>
      <c r="F552" s="144"/>
      <c r="G552" s="3" t="s">
        <v>92</v>
      </c>
      <c r="H552" s="3"/>
      <c r="I552" s="3"/>
      <c r="J552" s="33"/>
      <c r="K552" s="33"/>
      <c r="L552" s="33"/>
      <c r="M552" s="33"/>
      <c r="N552" s="33"/>
      <c r="O552" s="33"/>
      <c r="P552" s="143">
        <f>HLOOKUP(S547,AX549:CJ552,AU552,FALSE)</f>
        <v>46</v>
      </c>
      <c r="Q552" s="144"/>
      <c r="R552" s="3" t="s">
        <v>92</v>
      </c>
      <c r="S552" s="3"/>
      <c r="T552" s="3"/>
      <c r="U552" s="33"/>
      <c r="V552" s="143">
        <f>P552</f>
        <v>46</v>
      </c>
      <c r="W552" s="144"/>
      <c r="X552" s="3" t="s">
        <v>83</v>
      </c>
      <c r="Y552" s="144">
        <f>AF538</f>
        <v>1</v>
      </c>
      <c r="Z552" s="144"/>
      <c r="AA552" s="144"/>
      <c r="AB552" s="3" t="s">
        <v>83</v>
      </c>
      <c r="AC552" s="143">
        <f>C498+1</f>
        <v>3</v>
      </c>
      <c r="AD552" s="144"/>
      <c r="AE552" s="33"/>
      <c r="AF552" s="126"/>
      <c r="AG552" s="126"/>
      <c r="AH552" s="126"/>
      <c r="AI552" s="33"/>
      <c r="AJ552" s="33"/>
      <c r="AK552" s="3"/>
      <c r="AL552" s="3"/>
      <c r="AM552" s="3"/>
      <c r="AN552" s="3"/>
      <c r="AO552" s="3"/>
      <c r="AP552" s="3"/>
      <c r="AQ552" s="3"/>
      <c r="AR552" s="3"/>
      <c r="AS552" s="3"/>
      <c r="AU552" s="19">
        <v>4</v>
      </c>
      <c r="AV552" s="20"/>
      <c r="AW552" s="21"/>
      <c r="AX552" s="16">
        <f>IF(AU549=2,56,58)</f>
        <v>56</v>
      </c>
      <c r="AY552" s="16"/>
      <c r="AZ552" s="16"/>
      <c r="BA552" s="18">
        <f>AX552</f>
        <v>56</v>
      </c>
      <c r="BB552" s="18"/>
      <c r="BC552" s="18"/>
      <c r="BD552" s="18">
        <f>AX552</f>
        <v>56</v>
      </c>
      <c r="BE552" s="18"/>
      <c r="BF552" s="18"/>
      <c r="BG552" s="16">
        <f>BA552</f>
        <v>56</v>
      </c>
      <c r="BH552" s="16"/>
      <c r="BI552" s="16"/>
      <c r="BJ552" s="17">
        <f>IF(AU549=2,48,50)</f>
        <v>48</v>
      </c>
      <c r="BK552" s="17"/>
      <c r="BL552" s="17"/>
      <c r="BM552" s="17">
        <f>BJ552</f>
        <v>48</v>
      </c>
      <c r="BN552" s="17"/>
      <c r="BO552" s="17"/>
      <c r="BP552" s="17">
        <f>IF(AU549=2,46,IF(AU549=3,46,48))</f>
        <v>46</v>
      </c>
      <c r="BQ552" s="17"/>
      <c r="BR552" s="17"/>
      <c r="BS552" s="17">
        <f>BP552</f>
        <v>46</v>
      </c>
      <c r="BT552" s="17"/>
      <c r="BU552" s="17"/>
      <c r="BV552" s="17">
        <f>BP552</f>
        <v>46</v>
      </c>
      <c r="BW552" s="17"/>
      <c r="BX552" s="17"/>
      <c r="BY552" s="16">
        <f>BP552</f>
        <v>46</v>
      </c>
      <c r="BZ552" s="16"/>
      <c r="CA552" s="16"/>
      <c r="CB552" s="16">
        <f>IF(AU549=2,40,IF(AU549=3,42,42))</f>
        <v>40</v>
      </c>
      <c r="CC552" s="16"/>
      <c r="CD552" s="16"/>
      <c r="CE552" s="16">
        <f>CB552</f>
        <v>40</v>
      </c>
      <c r="CF552" s="16"/>
      <c r="CG552" s="16"/>
      <c r="CH552" s="16">
        <f>CB552</f>
        <v>40</v>
      </c>
      <c r="CI552" s="16"/>
      <c r="CJ552" s="16"/>
    </row>
    <row r="553" spans="1:58" ht="18" customHeight="1">
      <c r="A553" s="3"/>
      <c r="B553" s="3"/>
      <c r="C553" s="3"/>
      <c r="D553" s="3"/>
      <c r="E553" s="3"/>
      <c r="F553" s="3"/>
      <c r="G553" s="3" t="s">
        <v>25</v>
      </c>
      <c r="H553" s="3"/>
      <c r="I553" s="3"/>
      <c r="J553" s="3"/>
      <c r="K553" s="3"/>
      <c r="L553" s="3"/>
      <c r="M553" s="3"/>
      <c r="N553" s="3"/>
      <c r="O553" s="127">
        <f>O550</f>
        <v>210</v>
      </c>
      <c r="P553" s="33"/>
      <c r="Q553" s="33"/>
      <c r="R553" s="3" t="s">
        <v>72</v>
      </c>
      <c r="S553" s="127">
        <f>HLOOKUP(S547,AX549:CJ552,AU551,FALSE)</f>
        <v>4.6</v>
      </c>
      <c r="T553" s="33"/>
      <c r="U553" s="3" t="s">
        <v>85</v>
      </c>
      <c r="V553" s="3" t="s">
        <v>94</v>
      </c>
      <c r="W553" s="3"/>
      <c r="X553" s="3"/>
      <c r="Y553" s="3"/>
      <c r="Z553" s="3"/>
      <c r="AA553" s="3"/>
      <c r="AB553" s="145">
        <f>E552</f>
        <v>22</v>
      </c>
      <c r="AC553" s="1"/>
      <c r="AD553" s="3" t="s">
        <v>89</v>
      </c>
      <c r="AE553" s="3" t="s">
        <v>79</v>
      </c>
      <c r="AF553" s="65">
        <f>ROUND(O553-S553*(X551/(AG479*1000*AF538*(C498+1))-AB553),3)</f>
        <v>179.771</v>
      </c>
      <c r="AG553" s="65"/>
      <c r="AH553" s="65"/>
      <c r="AI553" s="65"/>
      <c r="AJ553" s="3" t="s">
        <v>101</v>
      </c>
      <c r="AK553" s="3"/>
      <c r="AL553" s="3"/>
      <c r="AM553" s="3"/>
      <c r="AN553" s="3"/>
      <c r="AO553" s="3"/>
      <c r="AP553" s="3"/>
      <c r="AQ553" s="3"/>
      <c r="AR553" s="3"/>
      <c r="AS553" s="3"/>
      <c r="BA553" s="3"/>
      <c r="BB553" s="3"/>
      <c r="BC553" s="3"/>
      <c r="BD553" s="3"/>
      <c r="BE553" s="3"/>
      <c r="BF553" s="3"/>
    </row>
    <row r="554" spans="1:45" ht="18" customHeight="1">
      <c r="A554" s="3"/>
      <c r="B554" s="3"/>
      <c r="C554" s="3"/>
      <c r="D554" s="3"/>
      <c r="E554" s="140"/>
      <c r="F554" s="141" t="s">
        <v>91</v>
      </c>
      <c r="G554" s="141"/>
      <c r="H554" s="140"/>
      <c r="I554" s="3"/>
      <c r="J554" s="33" t="s">
        <v>93</v>
      </c>
      <c r="K554" s="33" t="s">
        <v>167</v>
      </c>
      <c r="L554" s="33"/>
      <c r="M554" s="33"/>
      <c r="N554" s="33"/>
      <c r="O554" s="33"/>
      <c r="P554" s="140"/>
      <c r="Q554" s="141" t="s">
        <v>91</v>
      </c>
      <c r="R554" s="141"/>
      <c r="S554" s="140"/>
      <c r="T554" s="3"/>
      <c r="U554" s="33" t="s">
        <v>79</v>
      </c>
      <c r="V554" s="140"/>
      <c r="W554" s="140"/>
      <c r="X554" s="142">
        <f>(AG473+AM473)*1000</f>
        <v>2400</v>
      </c>
      <c r="Y554" s="141"/>
      <c r="Z554" s="141"/>
      <c r="AA554" s="140"/>
      <c r="AB554" s="140"/>
      <c r="AC554" s="140"/>
      <c r="AD554" s="140"/>
      <c r="AE554" s="33" t="s">
        <v>79</v>
      </c>
      <c r="AF554" s="126">
        <f>X554/(V555*Y555*AC555)</f>
        <v>10</v>
      </c>
      <c r="AG554" s="126"/>
      <c r="AH554" s="126"/>
      <c r="AI554" s="33" t="s">
        <v>71</v>
      </c>
      <c r="AJ554" s="33"/>
      <c r="AK554" s="3"/>
      <c r="AL554" s="3"/>
      <c r="AM554" s="3"/>
      <c r="AN554" s="3"/>
      <c r="AO554" s="3"/>
      <c r="AP554" s="3"/>
      <c r="AQ554" s="3"/>
      <c r="AR554" s="3"/>
      <c r="AS554" s="3"/>
    </row>
    <row r="555" spans="1:45" ht="18" customHeight="1">
      <c r="A555" s="3"/>
      <c r="B555" s="3"/>
      <c r="C555" s="3"/>
      <c r="D555" s="3"/>
      <c r="E555" s="143">
        <f>P552</f>
        <v>46</v>
      </c>
      <c r="F555" s="144"/>
      <c r="G555" s="3" t="s">
        <v>92</v>
      </c>
      <c r="H555" s="3"/>
      <c r="I555" s="3"/>
      <c r="J555" s="33"/>
      <c r="K555" s="33"/>
      <c r="L555" s="33"/>
      <c r="M555" s="33"/>
      <c r="N555" s="33"/>
      <c r="O555" s="33"/>
      <c r="P555" s="143">
        <v>80</v>
      </c>
      <c r="Q555" s="144"/>
      <c r="R555" s="3" t="s">
        <v>92</v>
      </c>
      <c r="S555" s="3"/>
      <c r="T555" s="3"/>
      <c r="U555" s="33"/>
      <c r="V555" s="143">
        <f>P555</f>
        <v>80</v>
      </c>
      <c r="W555" s="144"/>
      <c r="X555" s="3" t="s">
        <v>83</v>
      </c>
      <c r="Y555" s="144">
        <f>AF538</f>
        <v>1</v>
      </c>
      <c r="Z555" s="144"/>
      <c r="AA555" s="144"/>
      <c r="AB555" s="3" t="s">
        <v>83</v>
      </c>
      <c r="AC555" s="143">
        <f>C498+1</f>
        <v>3</v>
      </c>
      <c r="AD555" s="144"/>
      <c r="AE555" s="33"/>
      <c r="AF555" s="126"/>
      <c r="AG555" s="126"/>
      <c r="AH555" s="126"/>
      <c r="AI555" s="33"/>
      <c r="AJ555" s="33"/>
      <c r="AK555" s="3"/>
      <c r="AL555" s="3"/>
      <c r="AM555" s="3"/>
      <c r="AN555" s="3"/>
      <c r="AO555" s="3"/>
      <c r="AP555" s="3"/>
      <c r="AQ555" s="3"/>
      <c r="AR555" s="3"/>
      <c r="AS555" s="3"/>
    </row>
    <row r="556" spans="1:47" ht="18" customHeight="1">
      <c r="A556" s="3"/>
      <c r="B556" s="3"/>
      <c r="C556" s="3"/>
      <c r="D556" s="3"/>
      <c r="E556" s="3"/>
      <c r="F556" s="3"/>
      <c r="G556" s="3" t="s">
        <v>25</v>
      </c>
      <c r="H556" s="3"/>
      <c r="I556" s="3"/>
      <c r="J556" s="3"/>
      <c r="K556" s="3"/>
      <c r="L556" s="3"/>
      <c r="M556" s="3"/>
      <c r="N556" s="127">
        <f>210000</f>
        <v>210000</v>
      </c>
      <c r="O556" s="127"/>
      <c r="P556" s="127"/>
      <c r="Q556" s="127"/>
      <c r="R556" s="3" t="s">
        <v>83</v>
      </c>
      <c r="S556" s="3" t="s">
        <v>95</v>
      </c>
      <c r="T556" s="3"/>
      <c r="U556" s="3"/>
      <c r="V556" s="3"/>
      <c r="W556" s="3"/>
      <c r="X556" s="3"/>
      <c r="Y556" s="3"/>
      <c r="Z556" s="3" t="s">
        <v>79</v>
      </c>
      <c r="AA556" s="33">
        <f>N556*(AG479*1000*Y555*AC555/X554)^2</f>
        <v>257.25000000000006</v>
      </c>
      <c r="AB556" s="33"/>
      <c r="AC556" s="33"/>
      <c r="AD556" s="33"/>
      <c r="AE556" s="3"/>
      <c r="AF556" s="3" t="s">
        <v>101</v>
      </c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U556" s="61"/>
    </row>
    <row r="557" spans="1:45" ht="18" customHeight="1">
      <c r="A557" s="3"/>
      <c r="B557" s="3"/>
      <c r="C557" s="3"/>
      <c r="D557" s="3"/>
      <c r="E557" s="3" t="s">
        <v>26</v>
      </c>
      <c r="F557" s="3"/>
      <c r="G557" s="3"/>
      <c r="H557" s="3"/>
      <c r="I557" s="3"/>
      <c r="J557" s="126">
        <f>AG479*1000</f>
        <v>28</v>
      </c>
      <c r="K557" s="126"/>
      <c r="L557" s="126"/>
      <c r="M557" s="2" t="s">
        <v>145</v>
      </c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</row>
    <row r="558" spans="1:45" ht="18" customHeight="1">
      <c r="A558" s="3"/>
      <c r="B558" s="3"/>
      <c r="C558" s="3"/>
      <c r="D558" s="3"/>
      <c r="E558" s="3" t="s">
        <v>27</v>
      </c>
      <c r="F558" s="3"/>
      <c r="G558" s="3"/>
      <c r="H558" s="3"/>
      <c r="I558" s="3"/>
      <c r="J558" s="3"/>
      <c r="K558" s="3"/>
      <c r="L558" s="33">
        <f>IF(J557&gt;=AC548,O550,IF(J557&gt;=AF551,AF553,IF(J557&gt;=AF554,AA556,"확인 요망")))</f>
        <v>179.771</v>
      </c>
      <c r="M558" s="33"/>
      <c r="N558" s="33"/>
      <c r="O558" s="33"/>
      <c r="P558" s="3" t="s">
        <v>101</v>
      </c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</row>
    <row r="559" spans="1:45" ht="18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</row>
    <row r="560" spans="1:45" ht="18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</row>
    <row r="561" spans="1:46" ht="18" customHeight="1">
      <c r="A561" s="3"/>
      <c r="B561" s="3"/>
      <c r="C561" s="146" t="s">
        <v>42</v>
      </c>
      <c r="D561" s="147"/>
      <c r="E561" s="147"/>
      <c r="F561" s="147"/>
      <c r="G561" s="147"/>
      <c r="H561" s="146" t="s">
        <v>43</v>
      </c>
      <c r="I561" s="147"/>
      <c r="J561" s="147"/>
      <c r="K561" s="147"/>
      <c r="L561" s="147"/>
      <c r="M561" s="147"/>
      <c r="N561" s="147"/>
      <c r="O561" s="147"/>
      <c r="P561" s="147"/>
      <c r="Q561" s="147"/>
      <c r="R561" s="147"/>
      <c r="S561" s="147"/>
      <c r="T561" s="147"/>
      <c r="U561" s="147"/>
      <c r="V561" s="147"/>
      <c r="W561" s="147"/>
      <c r="X561" s="147"/>
      <c r="Y561" s="147"/>
      <c r="Z561" s="147"/>
      <c r="AA561" s="147"/>
      <c r="AB561" s="147" t="s">
        <v>96</v>
      </c>
      <c r="AC561" s="147"/>
      <c r="AD561" s="147"/>
      <c r="AE561" s="147"/>
      <c r="AF561" s="147"/>
      <c r="AG561" s="147"/>
      <c r="AH561" s="147"/>
      <c r="AI561" s="147"/>
      <c r="AJ561" s="146" t="s">
        <v>44</v>
      </c>
      <c r="AK561" s="147"/>
      <c r="AL561" s="147"/>
      <c r="AM561" s="147"/>
      <c r="AN561" s="147"/>
      <c r="AO561" s="147"/>
      <c r="AP561" s="147"/>
      <c r="AQ561" s="147"/>
      <c r="AR561" s="148"/>
      <c r="AS561" s="148"/>
      <c r="AT561" s="139"/>
    </row>
    <row r="562" spans="1:46" ht="18" customHeight="1">
      <c r="A562" s="3"/>
      <c r="B562" s="3"/>
      <c r="C562" s="147"/>
      <c r="D562" s="147"/>
      <c r="E562" s="147"/>
      <c r="F562" s="147"/>
      <c r="G562" s="147"/>
      <c r="H562" s="146" t="s">
        <v>169</v>
      </c>
      <c r="I562" s="147"/>
      <c r="J562" s="147"/>
      <c r="K562" s="147"/>
      <c r="L562" s="147"/>
      <c r="M562" s="147"/>
      <c r="N562" s="147"/>
      <c r="O562" s="147"/>
      <c r="P562" s="147"/>
      <c r="Q562" s="147"/>
      <c r="R562" s="146" t="s">
        <v>170</v>
      </c>
      <c r="S562" s="147"/>
      <c r="T562" s="147"/>
      <c r="U562" s="147"/>
      <c r="V562" s="147"/>
      <c r="W562" s="147"/>
      <c r="X562" s="147"/>
      <c r="Y562" s="147"/>
      <c r="Z562" s="147"/>
      <c r="AA562" s="147"/>
      <c r="AB562" s="147"/>
      <c r="AC562" s="147"/>
      <c r="AD562" s="147"/>
      <c r="AE562" s="147"/>
      <c r="AF562" s="147"/>
      <c r="AG562" s="147"/>
      <c r="AH562" s="147"/>
      <c r="AI562" s="147"/>
      <c r="AJ562" s="146" t="s">
        <v>45</v>
      </c>
      <c r="AK562" s="147"/>
      <c r="AL562" s="147"/>
      <c r="AM562" s="147"/>
      <c r="AN562" s="147"/>
      <c r="AO562" s="147"/>
      <c r="AP562" s="147"/>
      <c r="AQ562" s="147"/>
      <c r="AR562" s="148"/>
      <c r="AS562" s="148"/>
      <c r="AT562" s="139"/>
    </row>
    <row r="563" spans="1:46" ht="18" customHeight="1">
      <c r="A563" s="3"/>
      <c r="B563" s="3"/>
      <c r="C563" s="147"/>
      <c r="D563" s="147"/>
      <c r="E563" s="147"/>
      <c r="F563" s="147"/>
      <c r="G563" s="147"/>
      <c r="H563" s="149" t="s">
        <v>46</v>
      </c>
      <c r="I563" s="81"/>
      <c r="J563" s="81"/>
      <c r="K563" s="81"/>
      <c r="L563" s="86"/>
      <c r="M563" s="149" t="s">
        <v>47</v>
      </c>
      <c r="N563" s="81"/>
      <c r="O563" s="81"/>
      <c r="P563" s="81"/>
      <c r="Q563" s="86"/>
      <c r="R563" s="149" t="s">
        <v>46</v>
      </c>
      <c r="S563" s="81"/>
      <c r="T563" s="81"/>
      <c r="U563" s="81"/>
      <c r="V563" s="86"/>
      <c r="W563" s="149" t="s">
        <v>47</v>
      </c>
      <c r="X563" s="81"/>
      <c r="Y563" s="81"/>
      <c r="Z563" s="81"/>
      <c r="AA563" s="86"/>
      <c r="AB563" s="146" t="s">
        <v>46</v>
      </c>
      <c r="AC563" s="147"/>
      <c r="AD563" s="147"/>
      <c r="AE563" s="147"/>
      <c r="AF563" s="146" t="s">
        <v>47</v>
      </c>
      <c r="AG563" s="147"/>
      <c r="AH563" s="147"/>
      <c r="AI563" s="147"/>
      <c r="AJ563" s="146" t="s">
        <v>46</v>
      </c>
      <c r="AK563" s="147"/>
      <c r="AL563" s="147"/>
      <c r="AM563" s="147"/>
      <c r="AN563" s="146" t="s">
        <v>47</v>
      </c>
      <c r="AO563" s="147"/>
      <c r="AP563" s="147"/>
      <c r="AQ563" s="147"/>
      <c r="AR563" s="148"/>
      <c r="AS563" s="148"/>
      <c r="AT563" s="139"/>
    </row>
    <row r="564" spans="1:47" ht="18" customHeight="1">
      <c r="A564" s="3"/>
      <c r="B564" s="3"/>
      <c r="C564" s="150">
        <v>1</v>
      </c>
      <c r="D564" s="150"/>
      <c r="E564" s="150"/>
      <c r="F564" s="150"/>
      <c r="G564" s="150"/>
      <c r="H564" s="147">
        <f>M524</f>
        <v>53.52660096410853</v>
      </c>
      <c r="I564" s="147"/>
      <c r="J564" s="147"/>
      <c r="K564" s="147"/>
      <c r="L564" s="147"/>
      <c r="M564" s="147">
        <f>M525</f>
        <v>-53.1778292864864</v>
      </c>
      <c r="N564" s="147"/>
      <c r="O564" s="147"/>
      <c r="P564" s="147"/>
      <c r="Q564" s="147"/>
      <c r="R564" s="147">
        <f>IF(H564&gt;=0,H546,L558)</f>
        <v>210</v>
      </c>
      <c r="S564" s="147"/>
      <c r="T564" s="147"/>
      <c r="U564" s="147"/>
      <c r="V564" s="147"/>
      <c r="W564" s="147">
        <f>IF(M564&gt;=0,H546,L558)</f>
        <v>179.771</v>
      </c>
      <c r="X564" s="147"/>
      <c r="Y564" s="147"/>
      <c r="Z564" s="147"/>
      <c r="AA564" s="147"/>
      <c r="AB564" s="147">
        <f>(H564/R564)^2</f>
        <v>0.06496818618528127</v>
      </c>
      <c r="AC564" s="147"/>
      <c r="AD564" s="147"/>
      <c r="AE564" s="147"/>
      <c r="AF564" s="147">
        <f>(M564/W564)^2</f>
        <v>0.08750279844420303</v>
      </c>
      <c r="AG564" s="147"/>
      <c r="AH564" s="147"/>
      <c r="AI564" s="147"/>
      <c r="AJ564" s="147">
        <f>(H564/R564)^2+(Z534/AJ534)^2</f>
        <v>0.21812030361954934</v>
      </c>
      <c r="AK564" s="147"/>
      <c r="AL564" s="147"/>
      <c r="AM564" s="147"/>
      <c r="AN564" s="147">
        <f>(M564/W564)^2+(Z534/AJ534)^2</f>
        <v>0.2406549158784711</v>
      </c>
      <c r="AO564" s="147"/>
      <c r="AP564" s="147"/>
      <c r="AQ564" s="147"/>
      <c r="AR564" s="148"/>
      <c r="AS564" s="148"/>
      <c r="AT564" s="139"/>
      <c r="AU564" s="151"/>
    </row>
    <row r="565" spans="1:46" ht="18" customHeight="1">
      <c r="A565" s="3"/>
      <c r="B565" s="3"/>
      <c r="C565" s="150" t="s">
        <v>61</v>
      </c>
      <c r="D565" s="150"/>
      <c r="E565" s="150"/>
      <c r="F565" s="150"/>
      <c r="G565" s="150"/>
      <c r="H565" s="147">
        <f>M524+N529</f>
        <v>77.30438987660047</v>
      </c>
      <c r="I565" s="147"/>
      <c r="J565" s="147"/>
      <c r="K565" s="147"/>
      <c r="L565" s="147"/>
      <c r="M565" s="147">
        <f>M525+N530</f>
        <v>-76.80068552662884</v>
      </c>
      <c r="N565" s="147"/>
      <c r="O565" s="147"/>
      <c r="P565" s="147"/>
      <c r="Q565" s="147"/>
      <c r="R565" s="147">
        <f>R564</f>
        <v>210</v>
      </c>
      <c r="S565" s="147"/>
      <c r="T565" s="147"/>
      <c r="U565" s="147"/>
      <c r="V565" s="147"/>
      <c r="W565" s="147">
        <f>W564</f>
        <v>179.771</v>
      </c>
      <c r="X565" s="147"/>
      <c r="Y565" s="147"/>
      <c r="Z565" s="147"/>
      <c r="AA565" s="147"/>
      <c r="AB565" s="147">
        <f>(H565/R565)^2</f>
        <v>0.13550949419939795</v>
      </c>
      <c r="AC565" s="147"/>
      <c r="AD565" s="147"/>
      <c r="AE565" s="147"/>
      <c r="AF565" s="147">
        <f>(M565/W565)^2</f>
        <v>0.1825117900689085</v>
      </c>
      <c r="AG565" s="147"/>
      <c r="AH565" s="147"/>
      <c r="AI565" s="147"/>
      <c r="AJ565" s="147">
        <f>(H565/R565)^2+(Z534/AJ534)^2</f>
        <v>0.288661611633666</v>
      </c>
      <c r="AK565" s="147"/>
      <c r="AL565" s="147"/>
      <c r="AM565" s="147"/>
      <c r="AN565" s="147">
        <f>(M565/W565)^2+(Z534/AJ534)^2</f>
        <v>0.33566390750317654</v>
      </c>
      <c r="AO565" s="147"/>
      <c r="AP565" s="147"/>
      <c r="AQ565" s="147"/>
      <c r="AR565" s="148"/>
      <c r="AS565" s="148"/>
      <c r="AT565" s="139"/>
    </row>
    <row r="566" spans="1:45" ht="18" customHeight="1">
      <c r="A566" s="3"/>
      <c r="B566" s="3"/>
      <c r="C566" s="3" t="s">
        <v>48</v>
      </c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134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</row>
    <row r="567" spans="1:45" ht="18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</row>
    <row r="568" spans="1:45" ht="18" customHeight="1">
      <c r="A568" s="3"/>
      <c r="B568" s="3" t="s">
        <v>62</v>
      </c>
      <c r="C568" s="3"/>
      <c r="D568" s="3"/>
      <c r="E568" s="3"/>
      <c r="F568" s="3"/>
      <c r="G568" s="3"/>
      <c r="H568" s="3"/>
      <c r="I568" s="3"/>
      <c r="J568" s="3"/>
      <c r="K568" s="134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</row>
    <row r="569" spans="1:45" ht="18" customHeight="1">
      <c r="A569" s="3"/>
      <c r="B569" s="3"/>
      <c r="C569" s="3"/>
      <c r="D569" s="3"/>
      <c r="E569" s="3" t="s">
        <v>49</v>
      </c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</row>
    <row r="570" spans="1:45" ht="18" customHeight="1">
      <c r="A570" s="3"/>
      <c r="B570" s="3"/>
      <c r="C570" s="3"/>
      <c r="D570" s="3"/>
      <c r="E570" s="3"/>
      <c r="F570" s="152" t="s">
        <v>85</v>
      </c>
      <c r="G570" s="141" t="s">
        <v>97</v>
      </c>
      <c r="H570" s="141"/>
      <c r="I570" s="153">
        <v>0</v>
      </c>
      <c r="J570" s="33"/>
      <c r="K570" s="33"/>
      <c r="L570" s="33"/>
      <c r="M570" s="141" t="s">
        <v>98</v>
      </c>
      <c r="N570" s="141"/>
      <c r="O570" s="154">
        <v>0</v>
      </c>
      <c r="P570" s="33"/>
      <c r="Q570" s="33" t="s">
        <v>79</v>
      </c>
      <c r="R570" s="152" t="s">
        <v>85</v>
      </c>
      <c r="S570" s="141">
        <f>IF(AB564=R572,H564,IF(AB565=R572,H565,"ERROR"))</f>
        <v>77.30438987660047</v>
      </c>
      <c r="T570" s="141"/>
      <c r="U570" s="141"/>
      <c r="V570" s="141"/>
      <c r="W570" s="141"/>
      <c r="X570" s="154">
        <v>0</v>
      </c>
      <c r="Y570" s="33"/>
      <c r="Z570" s="33" t="s">
        <v>78</v>
      </c>
      <c r="AA570" s="152" t="s">
        <v>85</v>
      </c>
      <c r="AB570" s="141">
        <f>Z534</f>
        <v>46.96158526980813</v>
      </c>
      <c r="AC570" s="141"/>
      <c r="AD570" s="141"/>
      <c r="AE570" s="141"/>
      <c r="AF570" s="141"/>
      <c r="AG570" s="154">
        <v>0</v>
      </c>
      <c r="AH570" s="3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</row>
    <row r="571" spans="1:45" ht="18" customHeight="1">
      <c r="A571" s="3"/>
      <c r="B571" s="3"/>
      <c r="C571" s="3"/>
      <c r="D571" s="3"/>
      <c r="E571" s="3"/>
      <c r="F571" s="33"/>
      <c r="G571" s="144" t="s">
        <v>99</v>
      </c>
      <c r="H571" s="144"/>
      <c r="I571" s="33"/>
      <c r="J571" s="33"/>
      <c r="K571" s="33"/>
      <c r="L571" s="33"/>
      <c r="M571" s="144" t="s">
        <v>100</v>
      </c>
      <c r="N571" s="144"/>
      <c r="O571" s="33"/>
      <c r="P571" s="33"/>
      <c r="Q571" s="33"/>
      <c r="R571" s="33"/>
      <c r="S571" s="144">
        <f>IF(AB564=R572,R564,IF(AB565=R572,R565,"ERROR"))</f>
        <v>210</v>
      </c>
      <c r="T571" s="144"/>
      <c r="U571" s="144"/>
      <c r="V571" s="144"/>
      <c r="W571" s="144"/>
      <c r="X571" s="33"/>
      <c r="Y571" s="33"/>
      <c r="Z571" s="33"/>
      <c r="AA571" s="33"/>
      <c r="AB571" s="144">
        <f>AJ534</f>
        <v>120</v>
      </c>
      <c r="AC571" s="144"/>
      <c r="AD571" s="144"/>
      <c r="AE571" s="144"/>
      <c r="AF571" s="144"/>
      <c r="AG571" s="33"/>
      <c r="AH571" s="3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</row>
    <row r="572" spans="1:45" ht="18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 t="s">
        <v>79</v>
      </c>
      <c r="R572" s="33">
        <f>MAX(AB564:AB565)</f>
        <v>0.13550949419939795</v>
      </c>
      <c r="S572" s="33"/>
      <c r="T572" s="33"/>
      <c r="U572" s="33"/>
      <c r="V572" s="3" t="s">
        <v>78</v>
      </c>
      <c r="W572" s="33">
        <f>(Z534/AJ534)^2</f>
        <v>0.15315211743426807</v>
      </c>
      <c r="X572" s="33"/>
      <c r="Y572" s="33"/>
      <c r="Z572" s="33"/>
      <c r="AA572" s="3" t="s">
        <v>79</v>
      </c>
      <c r="AB572" s="33">
        <f>R572+W572</f>
        <v>0.288661611633666</v>
      </c>
      <c r="AC572" s="33"/>
      <c r="AD572" s="33"/>
      <c r="AE572" s="33"/>
      <c r="AF572" s="3"/>
      <c r="AG572" s="3" t="str">
        <f>IF(AB572&gt;AI572,"＞","＜")</f>
        <v>＜</v>
      </c>
      <c r="AH572" s="3"/>
      <c r="AI572" s="126">
        <v>1.2</v>
      </c>
      <c r="AJ572" s="33"/>
      <c r="AK572" s="33"/>
      <c r="AL572" s="3"/>
      <c r="AM572" s="3" t="str">
        <f>IF(AB572&lt;AI572,"O.K.","N.G.")</f>
        <v>O.K.</v>
      </c>
      <c r="AN572" s="3"/>
      <c r="AO572" s="3"/>
      <c r="AP572" s="3"/>
      <c r="AQ572" s="3"/>
      <c r="AR572" s="3"/>
      <c r="AS572" s="3"/>
    </row>
    <row r="573" spans="1:45" ht="18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</row>
    <row r="574" spans="1:45" ht="18" customHeight="1">
      <c r="A574" s="3"/>
      <c r="B574" s="3"/>
      <c r="C574" s="3"/>
      <c r="D574" s="3"/>
      <c r="E574" s="3" t="s">
        <v>50</v>
      </c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</row>
    <row r="575" spans="1:45" ht="18" customHeight="1">
      <c r="A575" s="3"/>
      <c r="B575" s="3"/>
      <c r="C575" s="3"/>
      <c r="D575" s="3"/>
      <c r="E575" s="3"/>
      <c r="F575" s="152" t="s">
        <v>85</v>
      </c>
      <c r="G575" s="141" t="s">
        <v>97</v>
      </c>
      <c r="H575" s="141"/>
      <c r="I575" s="153">
        <v>0</v>
      </c>
      <c r="J575" s="33"/>
      <c r="K575" s="33"/>
      <c r="L575" s="33"/>
      <c r="M575" s="141" t="s">
        <v>98</v>
      </c>
      <c r="N575" s="141"/>
      <c r="O575" s="154">
        <v>0</v>
      </c>
      <c r="P575" s="33"/>
      <c r="Q575" s="33" t="s">
        <v>79</v>
      </c>
      <c r="R575" s="152" t="s">
        <v>85</v>
      </c>
      <c r="S575" s="141">
        <f>IF(AF564=R577,M564,IF(AF565=R577,M565,"ERROR"))</f>
        <v>-76.80068552662884</v>
      </c>
      <c r="T575" s="141"/>
      <c r="U575" s="141"/>
      <c r="V575" s="141"/>
      <c r="W575" s="141"/>
      <c r="X575" s="154">
        <v>0</v>
      </c>
      <c r="Y575" s="33"/>
      <c r="Z575" s="33" t="s">
        <v>78</v>
      </c>
      <c r="AA575" s="152" t="s">
        <v>85</v>
      </c>
      <c r="AB575" s="141">
        <f>Z534</f>
        <v>46.96158526980813</v>
      </c>
      <c r="AC575" s="141"/>
      <c r="AD575" s="141"/>
      <c r="AE575" s="141"/>
      <c r="AF575" s="141"/>
      <c r="AG575" s="154">
        <v>0</v>
      </c>
      <c r="AH575" s="3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</row>
    <row r="576" spans="1:45" ht="18" customHeight="1">
      <c r="A576" s="3"/>
      <c r="B576" s="3"/>
      <c r="C576" s="3"/>
      <c r="D576" s="3"/>
      <c r="E576" s="3"/>
      <c r="F576" s="33"/>
      <c r="G576" s="144" t="s">
        <v>99</v>
      </c>
      <c r="H576" s="144"/>
      <c r="I576" s="33"/>
      <c r="J576" s="33"/>
      <c r="K576" s="33"/>
      <c r="L576" s="33"/>
      <c r="M576" s="144" t="s">
        <v>100</v>
      </c>
      <c r="N576" s="144"/>
      <c r="O576" s="33"/>
      <c r="P576" s="33"/>
      <c r="Q576" s="33"/>
      <c r="R576" s="33"/>
      <c r="S576" s="144">
        <f>IF(AF564=R577,W564,IF(AF565=R577,W565,"ERROR"))</f>
        <v>179.771</v>
      </c>
      <c r="T576" s="144"/>
      <c r="U576" s="144"/>
      <c r="V576" s="144"/>
      <c r="W576" s="144"/>
      <c r="X576" s="33"/>
      <c r="Y576" s="33"/>
      <c r="Z576" s="33"/>
      <c r="AA576" s="33"/>
      <c r="AB576" s="144">
        <f>AJ534</f>
        <v>120</v>
      </c>
      <c r="AC576" s="144"/>
      <c r="AD576" s="144"/>
      <c r="AE576" s="144"/>
      <c r="AF576" s="144"/>
      <c r="AG576" s="33"/>
      <c r="AH576" s="3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</row>
    <row r="577" spans="1:45" ht="18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 t="s">
        <v>79</v>
      </c>
      <c r="R577" s="33">
        <f>MAX(AF564:AF565)</f>
        <v>0.1825117900689085</v>
      </c>
      <c r="S577" s="33"/>
      <c r="T577" s="33"/>
      <c r="U577" s="33"/>
      <c r="V577" s="3" t="s">
        <v>78</v>
      </c>
      <c r="W577" s="33">
        <f>(Z534/AJ534)^2</f>
        <v>0.15315211743426807</v>
      </c>
      <c r="X577" s="33"/>
      <c r="Y577" s="33"/>
      <c r="Z577" s="33"/>
      <c r="AA577" s="3" t="s">
        <v>79</v>
      </c>
      <c r="AB577" s="33">
        <f>R577+W577</f>
        <v>0.33566390750317654</v>
      </c>
      <c r="AC577" s="33"/>
      <c r="AD577" s="33"/>
      <c r="AE577" s="33"/>
      <c r="AF577" s="3"/>
      <c r="AG577" s="3" t="str">
        <f>IF(AB577&gt;AI577,"＞","＜")</f>
        <v>＜</v>
      </c>
      <c r="AH577" s="3"/>
      <c r="AI577" s="126">
        <v>1.2</v>
      </c>
      <c r="AJ577" s="33"/>
      <c r="AK577" s="33"/>
      <c r="AL577" s="3"/>
      <c r="AM577" s="3" t="str">
        <f>IF(AB577&lt;AI577,"O.K.","N.G.")</f>
        <v>O.K.</v>
      </c>
      <c r="AN577" s="3"/>
      <c r="AO577" s="3"/>
      <c r="AP577" s="3"/>
      <c r="AQ577" s="3"/>
      <c r="AR577" s="3"/>
      <c r="AS577" s="3"/>
    </row>
    <row r="578" ht="18" customHeight="1">
      <c r="AU578" s="151"/>
    </row>
    <row r="579" spans="21:31" ht="18" customHeight="1"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</row>
  </sheetData>
  <mergeCells count="2425">
    <mergeCell ref="AM10:AO10"/>
    <mergeCell ref="AG7:AI7"/>
    <mergeCell ref="AM7:AO7"/>
    <mergeCell ref="AG4:AJ4"/>
    <mergeCell ref="AG6:AI6"/>
    <mergeCell ref="G3:H3"/>
    <mergeCell ref="AG8:AI8"/>
    <mergeCell ref="AG10:AI10"/>
    <mergeCell ref="D20:AB20"/>
    <mergeCell ref="AC20:AF20"/>
    <mergeCell ref="AG20:AL20"/>
    <mergeCell ref="M11:R11"/>
    <mergeCell ref="M3:N3"/>
    <mergeCell ref="V3:X3"/>
    <mergeCell ref="AJ18:AK18"/>
    <mergeCell ref="AC22:AF22"/>
    <mergeCell ref="AG22:AL22"/>
    <mergeCell ref="AM12:AO12"/>
    <mergeCell ref="AC21:AF21"/>
    <mergeCell ref="AG21:AL21"/>
    <mergeCell ref="AG14:AI14"/>
    <mergeCell ref="AG15:AI15"/>
    <mergeCell ref="AG17:AI17"/>
    <mergeCell ref="AG16:AI16"/>
    <mergeCell ref="AN18:AO18"/>
    <mergeCell ref="AC25:AF25"/>
    <mergeCell ref="AG25:AL25"/>
    <mergeCell ref="AC23:AF23"/>
    <mergeCell ref="AG23:AL23"/>
    <mergeCell ref="AC24:AF24"/>
    <mergeCell ref="AG24:AL24"/>
    <mergeCell ref="C30:J30"/>
    <mergeCell ref="K30:M30"/>
    <mergeCell ref="N30:P30"/>
    <mergeCell ref="Q30:T30"/>
    <mergeCell ref="AG27:AL27"/>
    <mergeCell ref="U30:X30"/>
    <mergeCell ref="Y30:AC30"/>
    <mergeCell ref="AD30:AI30"/>
    <mergeCell ref="AJ30:AO30"/>
    <mergeCell ref="U32:X32"/>
    <mergeCell ref="K31:M31"/>
    <mergeCell ref="N31:P31"/>
    <mergeCell ref="AC27:AF27"/>
    <mergeCell ref="K34:M34"/>
    <mergeCell ref="N34:P34"/>
    <mergeCell ref="Y31:AC31"/>
    <mergeCell ref="AD31:AI31"/>
    <mergeCell ref="Q31:T31"/>
    <mergeCell ref="U31:X31"/>
    <mergeCell ref="Y34:AC34"/>
    <mergeCell ref="AD34:AI34"/>
    <mergeCell ref="Q34:T34"/>
    <mergeCell ref="U34:X34"/>
    <mergeCell ref="Y36:AC36"/>
    <mergeCell ref="AD36:AI36"/>
    <mergeCell ref="AJ34:AO34"/>
    <mergeCell ref="K35:M35"/>
    <mergeCell ref="N35:P35"/>
    <mergeCell ref="Q35:T35"/>
    <mergeCell ref="U35:X35"/>
    <mergeCell ref="Y35:AC35"/>
    <mergeCell ref="AD35:AI35"/>
    <mergeCell ref="AJ35:AO35"/>
    <mergeCell ref="AJ36:AO36"/>
    <mergeCell ref="C37:J37"/>
    <mergeCell ref="Q37:T37"/>
    <mergeCell ref="Y37:AC37"/>
    <mergeCell ref="AD37:AI37"/>
    <mergeCell ref="AJ37:AO37"/>
    <mergeCell ref="K36:M36"/>
    <mergeCell ref="N36:P36"/>
    <mergeCell ref="Q36:T36"/>
    <mergeCell ref="U36:X36"/>
    <mergeCell ref="L54:P54"/>
    <mergeCell ref="R54:V54"/>
    <mergeCell ref="X54:AB54"/>
    <mergeCell ref="AD54:AI54"/>
    <mergeCell ref="Z52:AE52"/>
    <mergeCell ref="L53:P53"/>
    <mergeCell ref="R53:V53"/>
    <mergeCell ref="X53:AC53"/>
    <mergeCell ref="R52:X52"/>
    <mergeCell ref="L52:P52"/>
    <mergeCell ref="AJ68:AL68"/>
    <mergeCell ref="N63:R63"/>
    <mergeCell ref="N64:R64"/>
    <mergeCell ref="M58:Q58"/>
    <mergeCell ref="M59:Q59"/>
    <mergeCell ref="S60:W60"/>
    <mergeCell ref="Z68:AC68"/>
    <mergeCell ref="AF72:AI72"/>
    <mergeCell ref="S65:W65"/>
    <mergeCell ref="E72:G72"/>
    <mergeCell ref="J72:K72"/>
    <mergeCell ref="M72:N72"/>
    <mergeCell ref="Q72:S72"/>
    <mergeCell ref="Y72:Z72"/>
    <mergeCell ref="AC72:AD72"/>
    <mergeCell ref="H80:K80"/>
    <mergeCell ref="S79:V79"/>
    <mergeCell ref="S81:V81"/>
    <mergeCell ref="V72:W72"/>
    <mergeCell ref="E82:I83"/>
    <mergeCell ref="K82:L82"/>
    <mergeCell ref="J83:K83"/>
    <mergeCell ref="P82:P83"/>
    <mergeCell ref="AF82:AG83"/>
    <mergeCell ref="O84:R84"/>
    <mergeCell ref="T82:V82"/>
    <mergeCell ref="R83:S83"/>
    <mergeCell ref="U83:W83"/>
    <mergeCell ref="Y83:Z83"/>
    <mergeCell ref="AA82:AB83"/>
    <mergeCell ref="AC82:AE83"/>
    <mergeCell ref="X85:Z85"/>
    <mergeCell ref="V86:W86"/>
    <mergeCell ref="Y86:AA86"/>
    <mergeCell ref="F85:G85"/>
    <mergeCell ref="E86:F86"/>
    <mergeCell ref="J85:J86"/>
    <mergeCell ref="K85:O86"/>
    <mergeCell ref="O87:Q87"/>
    <mergeCell ref="S87:T87"/>
    <mergeCell ref="AF87:AI87"/>
    <mergeCell ref="AC86:AD86"/>
    <mergeCell ref="AE85:AE86"/>
    <mergeCell ref="AF85:AH86"/>
    <mergeCell ref="AI85:AJ86"/>
    <mergeCell ref="Q85:R85"/>
    <mergeCell ref="P86:Q86"/>
    <mergeCell ref="U85:U86"/>
    <mergeCell ref="F88:G88"/>
    <mergeCell ref="E89:F89"/>
    <mergeCell ref="J88:J89"/>
    <mergeCell ref="K88:O89"/>
    <mergeCell ref="Q88:R88"/>
    <mergeCell ref="P89:Q89"/>
    <mergeCell ref="U88:U89"/>
    <mergeCell ref="X88:Z88"/>
    <mergeCell ref="V89:W89"/>
    <mergeCell ref="Y89:AA89"/>
    <mergeCell ref="AC89:AD89"/>
    <mergeCell ref="AE88:AE89"/>
    <mergeCell ref="AF88:AH89"/>
    <mergeCell ref="AI88:AJ89"/>
    <mergeCell ref="C95:G97"/>
    <mergeCell ref="N90:Q90"/>
    <mergeCell ref="AA90:AD90"/>
    <mergeCell ref="J91:L91"/>
    <mergeCell ref="L92:O92"/>
    <mergeCell ref="H95:AA95"/>
    <mergeCell ref="H96:Q96"/>
    <mergeCell ref="R96:AA96"/>
    <mergeCell ref="H97:L97"/>
    <mergeCell ref="M97:Q97"/>
    <mergeCell ref="W99:AA99"/>
    <mergeCell ref="R97:V97"/>
    <mergeCell ref="W97:AA97"/>
    <mergeCell ref="H98:L98"/>
    <mergeCell ref="M98:Q98"/>
    <mergeCell ref="R98:V98"/>
    <mergeCell ref="W98:AA98"/>
    <mergeCell ref="F104:F105"/>
    <mergeCell ref="G104:H104"/>
    <mergeCell ref="G105:H105"/>
    <mergeCell ref="I104:L105"/>
    <mergeCell ref="M104:N104"/>
    <mergeCell ref="M105:N105"/>
    <mergeCell ref="O104:P105"/>
    <mergeCell ref="Q104:Q105"/>
    <mergeCell ref="R106:U106"/>
    <mergeCell ref="R104:R105"/>
    <mergeCell ref="S104:W104"/>
    <mergeCell ref="S105:W105"/>
    <mergeCell ref="AG104:AH105"/>
    <mergeCell ref="W106:Z106"/>
    <mergeCell ref="AB106:AE106"/>
    <mergeCell ref="AI106:AK106"/>
    <mergeCell ref="X104:Y105"/>
    <mergeCell ref="Z104:Z105"/>
    <mergeCell ref="AA104:AA105"/>
    <mergeCell ref="AB104:AF104"/>
    <mergeCell ref="AB105:AF105"/>
    <mergeCell ref="F109:F110"/>
    <mergeCell ref="G109:H109"/>
    <mergeCell ref="G110:H110"/>
    <mergeCell ref="I109:L110"/>
    <mergeCell ref="M109:N109"/>
    <mergeCell ref="M110:N110"/>
    <mergeCell ref="O109:P110"/>
    <mergeCell ref="Q109:Q110"/>
    <mergeCell ref="R111:U111"/>
    <mergeCell ref="R109:R110"/>
    <mergeCell ref="S109:W109"/>
    <mergeCell ref="S110:W110"/>
    <mergeCell ref="AG109:AH110"/>
    <mergeCell ref="W111:Z111"/>
    <mergeCell ref="AB111:AE111"/>
    <mergeCell ref="AI111:AK111"/>
    <mergeCell ref="X109:Y110"/>
    <mergeCell ref="Z109:Z110"/>
    <mergeCell ref="AA109:AA110"/>
    <mergeCell ref="AB109:AF109"/>
    <mergeCell ref="AB110:AF110"/>
    <mergeCell ref="BJ68:BL68"/>
    <mergeCell ref="BM68:BO68"/>
    <mergeCell ref="BP68:BR68"/>
    <mergeCell ref="AU68:AW68"/>
    <mergeCell ref="AX68:AZ68"/>
    <mergeCell ref="BA68:BC68"/>
    <mergeCell ref="BS68:BU68"/>
    <mergeCell ref="BV68:BX68"/>
    <mergeCell ref="BY68:CA68"/>
    <mergeCell ref="CB68:CD68"/>
    <mergeCell ref="CE68:CG68"/>
    <mergeCell ref="CH68:CJ68"/>
    <mergeCell ref="AU69:AW69"/>
    <mergeCell ref="AX69:AZ69"/>
    <mergeCell ref="BA69:BC69"/>
    <mergeCell ref="BD69:BF69"/>
    <mergeCell ref="BJ69:BL69"/>
    <mergeCell ref="BM69:BO69"/>
    <mergeCell ref="BP69:BR69"/>
    <mergeCell ref="BS69:BU69"/>
    <mergeCell ref="BV69:BX69"/>
    <mergeCell ref="BY69:CA69"/>
    <mergeCell ref="CB69:CD69"/>
    <mergeCell ref="CE69:CG69"/>
    <mergeCell ref="CH69:CJ69"/>
    <mergeCell ref="AU70:AW70"/>
    <mergeCell ref="AX70:AZ70"/>
    <mergeCell ref="BA70:BC70"/>
    <mergeCell ref="BD70:BF70"/>
    <mergeCell ref="BJ70:BL70"/>
    <mergeCell ref="BM70:BO70"/>
    <mergeCell ref="BP70:BR70"/>
    <mergeCell ref="BS70:BU70"/>
    <mergeCell ref="BV70:BX70"/>
    <mergeCell ref="BY70:CA70"/>
    <mergeCell ref="CB70:CD70"/>
    <mergeCell ref="CE70:CG70"/>
    <mergeCell ref="CH70:CJ70"/>
    <mergeCell ref="AU71:AW71"/>
    <mergeCell ref="AX71:AZ71"/>
    <mergeCell ref="BA71:BC71"/>
    <mergeCell ref="BD71:BF71"/>
    <mergeCell ref="BY71:CA71"/>
    <mergeCell ref="CB71:CD71"/>
    <mergeCell ref="CE71:CG71"/>
    <mergeCell ref="BJ71:BL71"/>
    <mergeCell ref="BM71:BO71"/>
    <mergeCell ref="BP71:BR71"/>
    <mergeCell ref="BS71:BU71"/>
    <mergeCell ref="CH71:CJ71"/>
    <mergeCell ref="AU73:AW73"/>
    <mergeCell ref="AX73:AZ73"/>
    <mergeCell ref="BA73:BC73"/>
    <mergeCell ref="BD73:BF73"/>
    <mergeCell ref="BJ73:BL73"/>
    <mergeCell ref="BM73:BO73"/>
    <mergeCell ref="BP73:BR73"/>
    <mergeCell ref="BS73:BU73"/>
    <mergeCell ref="BV71:BX71"/>
    <mergeCell ref="BV73:BX73"/>
    <mergeCell ref="BY73:CA73"/>
    <mergeCell ref="CB73:CD73"/>
    <mergeCell ref="CE73:CG73"/>
    <mergeCell ref="CH73:CJ73"/>
    <mergeCell ref="AU74:AW74"/>
    <mergeCell ref="AX74:AZ74"/>
    <mergeCell ref="BA74:BC74"/>
    <mergeCell ref="BD74:BF74"/>
    <mergeCell ref="BJ74:BL74"/>
    <mergeCell ref="BM74:BO74"/>
    <mergeCell ref="BP74:BR74"/>
    <mergeCell ref="BS74:BU74"/>
    <mergeCell ref="BV74:BX74"/>
    <mergeCell ref="BY74:CA74"/>
    <mergeCell ref="CB74:CD74"/>
    <mergeCell ref="CE74:CG74"/>
    <mergeCell ref="CH74:CJ74"/>
    <mergeCell ref="AU75:AW75"/>
    <mergeCell ref="AX75:AZ75"/>
    <mergeCell ref="BA75:BC75"/>
    <mergeCell ref="BD75:BF75"/>
    <mergeCell ref="BJ75:BL75"/>
    <mergeCell ref="BM75:BO75"/>
    <mergeCell ref="BP75:BR75"/>
    <mergeCell ref="BS75:BU75"/>
    <mergeCell ref="BV75:BX75"/>
    <mergeCell ref="BY75:CA75"/>
    <mergeCell ref="CB75:CD75"/>
    <mergeCell ref="CE75:CG75"/>
    <mergeCell ref="CH76:CJ76"/>
    <mergeCell ref="CH75:CJ75"/>
    <mergeCell ref="AU76:AW76"/>
    <mergeCell ref="AX76:AZ76"/>
    <mergeCell ref="BA76:BC76"/>
    <mergeCell ref="BD76:BF76"/>
    <mergeCell ref="BJ76:BL76"/>
    <mergeCell ref="BM76:BO76"/>
    <mergeCell ref="BP76:BR76"/>
    <mergeCell ref="BS76:BU76"/>
    <mergeCell ref="AU80:AW80"/>
    <mergeCell ref="BY76:CA76"/>
    <mergeCell ref="CB76:CD76"/>
    <mergeCell ref="BM83:BO83"/>
    <mergeCell ref="BP83:BR83"/>
    <mergeCell ref="BS83:BU83"/>
    <mergeCell ref="AX83:AZ83"/>
    <mergeCell ref="BA83:BC83"/>
    <mergeCell ref="BD83:BF83"/>
    <mergeCell ref="BV83:BX83"/>
    <mergeCell ref="BY83:CA83"/>
    <mergeCell ref="CB83:CD83"/>
    <mergeCell ref="CE83:CG83"/>
    <mergeCell ref="CH83:CJ83"/>
    <mergeCell ref="BS84:BU84"/>
    <mergeCell ref="AU84:AW84"/>
    <mergeCell ref="AX84:AZ84"/>
    <mergeCell ref="BA84:BC84"/>
    <mergeCell ref="BD84:BF84"/>
    <mergeCell ref="BG84:BI84"/>
    <mergeCell ref="BV84:BX84"/>
    <mergeCell ref="BY84:CA84"/>
    <mergeCell ref="CB84:CD84"/>
    <mergeCell ref="CE84:CG84"/>
    <mergeCell ref="BD85:BF85"/>
    <mergeCell ref="CH84:CJ84"/>
    <mergeCell ref="BM85:BO85"/>
    <mergeCell ref="BP85:BR85"/>
    <mergeCell ref="BS85:BU85"/>
    <mergeCell ref="BV85:BX85"/>
    <mergeCell ref="BY85:CA85"/>
    <mergeCell ref="CB85:CD85"/>
    <mergeCell ref="CE85:CG85"/>
    <mergeCell ref="CH85:CJ85"/>
    <mergeCell ref="CH86:CJ86"/>
    <mergeCell ref="BV86:BX86"/>
    <mergeCell ref="BY86:CA86"/>
    <mergeCell ref="CB86:CD86"/>
    <mergeCell ref="CE86:CG86"/>
    <mergeCell ref="F13:H13"/>
    <mergeCell ref="N13:S13"/>
    <mergeCell ref="CA14:CC14"/>
    <mergeCell ref="X13:Z13"/>
    <mergeCell ref="CA15:CC15"/>
    <mergeCell ref="CA16:CC16"/>
    <mergeCell ref="AG18:AH18"/>
    <mergeCell ref="Y33:AC33"/>
    <mergeCell ref="AD33:AI33"/>
    <mergeCell ref="AC26:AF26"/>
    <mergeCell ref="AG26:AL26"/>
    <mergeCell ref="AJ33:AO33"/>
    <mergeCell ref="AJ31:AO31"/>
    <mergeCell ref="Y32:AC32"/>
    <mergeCell ref="CA12:CC12"/>
    <mergeCell ref="CA13:CC13"/>
    <mergeCell ref="AG12:AI12"/>
    <mergeCell ref="AG13:AI13"/>
    <mergeCell ref="AQ18:AR18"/>
    <mergeCell ref="K33:M33"/>
    <mergeCell ref="N33:P33"/>
    <mergeCell ref="Q33:T33"/>
    <mergeCell ref="U33:X33"/>
    <mergeCell ref="AD32:AI32"/>
    <mergeCell ref="AJ32:AO32"/>
    <mergeCell ref="K32:M32"/>
    <mergeCell ref="N32:P32"/>
    <mergeCell ref="Q32:T32"/>
    <mergeCell ref="CE76:CG76"/>
    <mergeCell ref="BV76:BX76"/>
    <mergeCell ref="AU78:AW78"/>
    <mergeCell ref="AX78:AZ78"/>
    <mergeCell ref="BA78:BC78"/>
    <mergeCell ref="BD78:BF78"/>
    <mergeCell ref="BJ78:BL78"/>
    <mergeCell ref="BM78:BO78"/>
    <mergeCell ref="BP78:BR78"/>
    <mergeCell ref="BS78:BU78"/>
    <mergeCell ref="AB57:AF57"/>
    <mergeCell ref="M55:P55"/>
    <mergeCell ref="U55:V55"/>
    <mergeCell ref="AD55:AI55"/>
    <mergeCell ref="P56:T56"/>
    <mergeCell ref="V56:Y56"/>
    <mergeCell ref="AA56:AE56"/>
    <mergeCell ref="X55:AB55"/>
    <mergeCell ref="BV79:BX79"/>
    <mergeCell ref="BY79:CA79"/>
    <mergeCell ref="CB78:CD78"/>
    <mergeCell ref="CE78:CG78"/>
    <mergeCell ref="BV78:BX78"/>
    <mergeCell ref="BY78:CA78"/>
    <mergeCell ref="CH78:CJ78"/>
    <mergeCell ref="AU79:AW79"/>
    <mergeCell ref="AX79:AZ79"/>
    <mergeCell ref="BA79:BC79"/>
    <mergeCell ref="BD79:BF79"/>
    <mergeCell ref="CB79:CD79"/>
    <mergeCell ref="CE79:CG79"/>
    <mergeCell ref="BJ79:BL79"/>
    <mergeCell ref="CH79:CJ79"/>
    <mergeCell ref="BM79:BO79"/>
    <mergeCell ref="BS79:BU79"/>
    <mergeCell ref="AX80:AZ80"/>
    <mergeCell ref="BA80:BC80"/>
    <mergeCell ref="BD80:BF80"/>
    <mergeCell ref="BJ80:BL80"/>
    <mergeCell ref="BP79:BR79"/>
    <mergeCell ref="BV80:BX80"/>
    <mergeCell ref="AU81:AW81"/>
    <mergeCell ref="AX81:AZ81"/>
    <mergeCell ref="BA81:BC81"/>
    <mergeCell ref="BD81:BF81"/>
    <mergeCell ref="BG81:BI81"/>
    <mergeCell ref="BV81:BX81"/>
    <mergeCell ref="BM80:BO80"/>
    <mergeCell ref="BP80:BR80"/>
    <mergeCell ref="BS80:BU80"/>
    <mergeCell ref="BS81:BU81"/>
    <mergeCell ref="BM81:BO81"/>
    <mergeCell ref="BP81:BR81"/>
    <mergeCell ref="BJ86:BL86"/>
    <mergeCell ref="BM86:BO86"/>
    <mergeCell ref="BP86:BR86"/>
    <mergeCell ref="BS86:BU86"/>
    <mergeCell ref="BJ84:BL84"/>
    <mergeCell ref="BM84:BO84"/>
    <mergeCell ref="BP84:BR84"/>
    <mergeCell ref="CH80:CJ80"/>
    <mergeCell ref="CH81:CJ81"/>
    <mergeCell ref="BJ85:BL85"/>
    <mergeCell ref="BJ83:BL83"/>
    <mergeCell ref="BY81:CA81"/>
    <mergeCell ref="CB81:CD81"/>
    <mergeCell ref="CE81:CG81"/>
    <mergeCell ref="BY80:CA80"/>
    <mergeCell ref="CB80:CD80"/>
    <mergeCell ref="CE80:CG80"/>
    <mergeCell ref="BG76:BI76"/>
    <mergeCell ref="BJ81:BL81"/>
    <mergeCell ref="BG78:BI78"/>
    <mergeCell ref="BG79:BI79"/>
    <mergeCell ref="BG80:BI80"/>
    <mergeCell ref="AU83:AW83"/>
    <mergeCell ref="BG68:BI68"/>
    <mergeCell ref="BG69:BI69"/>
    <mergeCell ref="BD68:BF68"/>
    <mergeCell ref="BG70:BI70"/>
    <mergeCell ref="BG71:BI71"/>
    <mergeCell ref="BG73:BI73"/>
    <mergeCell ref="BG74:BI74"/>
    <mergeCell ref="BG75:BI75"/>
    <mergeCell ref="BG83:BI83"/>
    <mergeCell ref="BG85:BI85"/>
    <mergeCell ref="BG86:BI86"/>
    <mergeCell ref="AN98:AQ98"/>
    <mergeCell ref="AU86:AW86"/>
    <mergeCell ref="AX86:AZ86"/>
    <mergeCell ref="BA86:BC86"/>
    <mergeCell ref="BD86:BF86"/>
    <mergeCell ref="AU85:AW85"/>
    <mergeCell ref="AX85:AZ85"/>
    <mergeCell ref="BA85:BC85"/>
    <mergeCell ref="AN99:AQ99"/>
    <mergeCell ref="AB95:AI96"/>
    <mergeCell ref="AJ95:AQ95"/>
    <mergeCell ref="AJ96:AQ96"/>
    <mergeCell ref="AB97:AE97"/>
    <mergeCell ref="AN97:AQ97"/>
    <mergeCell ref="AJ97:AM97"/>
    <mergeCell ref="AJ98:AM98"/>
    <mergeCell ref="AJ99:AM99"/>
    <mergeCell ref="C98:G98"/>
    <mergeCell ref="C99:G99"/>
    <mergeCell ref="AF97:AI97"/>
    <mergeCell ref="AF98:AI98"/>
    <mergeCell ref="AF99:AI99"/>
    <mergeCell ref="AB98:AE98"/>
    <mergeCell ref="AB99:AE99"/>
    <mergeCell ref="H99:L99"/>
    <mergeCell ref="M99:Q99"/>
    <mergeCell ref="R99:V99"/>
    <mergeCell ref="G118:H118"/>
    <mergeCell ref="M118:N118"/>
    <mergeCell ref="V118:X118"/>
    <mergeCell ref="AG119:AJ119"/>
    <mergeCell ref="AG121:AI121"/>
    <mergeCell ref="AG122:AI122"/>
    <mergeCell ref="AM122:AO122"/>
    <mergeCell ref="AG123:AI123"/>
    <mergeCell ref="AG125:AI125"/>
    <mergeCell ref="AM125:AO125"/>
    <mergeCell ref="M126:R126"/>
    <mergeCell ref="AG127:AI127"/>
    <mergeCell ref="AM127:AO127"/>
    <mergeCell ref="CA127:CC127"/>
    <mergeCell ref="F128:H128"/>
    <mergeCell ref="N128:S128"/>
    <mergeCell ref="X128:Z128"/>
    <mergeCell ref="AG128:AI128"/>
    <mergeCell ref="CA128:CC128"/>
    <mergeCell ref="AG129:AI129"/>
    <mergeCell ref="CA129:CC129"/>
    <mergeCell ref="AG130:AI130"/>
    <mergeCell ref="CA130:CC130"/>
    <mergeCell ref="AG131:AI131"/>
    <mergeCell ref="CA131:CC131"/>
    <mergeCell ref="AG132:AI132"/>
    <mergeCell ref="AG133:AH133"/>
    <mergeCell ref="AJ133:AK133"/>
    <mergeCell ref="AN133:AO133"/>
    <mergeCell ref="AQ133:AR133"/>
    <mergeCell ref="D135:AB135"/>
    <mergeCell ref="AC135:AF135"/>
    <mergeCell ref="AG135:AL135"/>
    <mergeCell ref="AC136:AF136"/>
    <mergeCell ref="AG136:AL136"/>
    <mergeCell ref="AC137:AF137"/>
    <mergeCell ref="AG137:AL137"/>
    <mergeCell ref="AC138:AF138"/>
    <mergeCell ref="AG138:AL138"/>
    <mergeCell ref="AC139:AF139"/>
    <mergeCell ref="AG139:AL139"/>
    <mergeCell ref="AC140:AF140"/>
    <mergeCell ref="AG140:AL140"/>
    <mergeCell ref="AC141:AF141"/>
    <mergeCell ref="AG141:AL141"/>
    <mergeCell ref="AC142:AF142"/>
    <mergeCell ref="AG142:AL142"/>
    <mergeCell ref="C145:J145"/>
    <mergeCell ref="K145:M145"/>
    <mergeCell ref="N145:P145"/>
    <mergeCell ref="Q145:T145"/>
    <mergeCell ref="U145:X145"/>
    <mergeCell ref="Y145:AC145"/>
    <mergeCell ref="AD145:AI145"/>
    <mergeCell ref="AJ145:AO145"/>
    <mergeCell ref="K146:M146"/>
    <mergeCell ref="N146:P146"/>
    <mergeCell ref="Q146:T146"/>
    <mergeCell ref="U146:X146"/>
    <mergeCell ref="Y146:AC146"/>
    <mergeCell ref="AD146:AI146"/>
    <mergeCell ref="AJ146:AO146"/>
    <mergeCell ref="K147:M147"/>
    <mergeCell ref="N147:P147"/>
    <mergeCell ref="Q147:T147"/>
    <mergeCell ref="U147:X147"/>
    <mergeCell ref="Y147:AC147"/>
    <mergeCell ref="AD147:AI147"/>
    <mergeCell ref="AJ147:AO147"/>
    <mergeCell ref="K148:M148"/>
    <mergeCell ref="N148:P148"/>
    <mergeCell ref="Q148:T148"/>
    <mergeCell ref="U148:X148"/>
    <mergeCell ref="Y148:AC148"/>
    <mergeCell ref="AD148:AI148"/>
    <mergeCell ref="AJ148:AO148"/>
    <mergeCell ref="K149:M149"/>
    <mergeCell ref="N149:P149"/>
    <mergeCell ref="Q149:T149"/>
    <mergeCell ref="U149:X149"/>
    <mergeCell ref="Y149:AC149"/>
    <mergeCell ref="AD149:AI149"/>
    <mergeCell ref="AJ149:AO149"/>
    <mergeCell ref="K150:M150"/>
    <mergeCell ref="N150:P150"/>
    <mergeCell ref="Q150:T150"/>
    <mergeCell ref="U150:X150"/>
    <mergeCell ref="Y150:AC150"/>
    <mergeCell ref="AD150:AI150"/>
    <mergeCell ref="AJ150:AO150"/>
    <mergeCell ref="K151:M151"/>
    <mergeCell ref="N151:P151"/>
    <mergeCell ref="Q151:T151"/>
    <mergeCell ref="U151:X151"/>
    <mergeCell ref="Y151:AC151"/>
    <mergeCell ref="AD151:AI151"/>
    <mergeCell ref="AJ151:AO151"/>
    <mergeCell ref="C152:J152"/>
    <mergeCell ref="Q152:T152"/>
    <mergeCell ref="Y152:AC152"/>
    <mergeCell ref="AD152:AI152"/>
    <mergeCell ref="AJ152:AO152"/>
    <mergeCell ref="L167:P167"/>
    <mergeCell ref="R167:X167"/>
    <mergeCell ref="Z167:AE167"/>
    <mergeCell ref="L168:P168"/>
    <mergeCell ref="R168:V168"/>
    <mergeCell ref="X168:AC168"/>
    <mergeCell ref="L169:P169"/>
    <mergeCell ref="R169:V169"/>
    <mergeCell ref="X169:AB169"/>
    <mergeCell ref="AD169:AI169"/>
    <mergeCell ref="M170:P170"/>
    <mergeCell ref="U170:V170"/>
    <mergeCell ref="X170:AB170"/>
    <mergeCell ref="AD170:AI170"/>
    <mergeCell ref="P171:T171"/>
    <mergeCell ref="V171:Y171"/>
    <mergeCell ref="AA171:AE171"/>
    <mergeCell ref="AB172:AF172"/>
    <mergeCell ref="M173:Q173"/>
    <mergeCell ref="M174:Q174"/>
    <mergeCell ref="S175:W175"/>
    <mergeCell ref="N178:R178"/>
    <mergeCell ref="N179:R179"/>
    <mergeCell ref="S180:W180"/>
    <mergeCell ref="Z183:AC183"/>
    <mergeCell ref="AJ183:AL183"/>
    <mergeCell ref="AU183:AW183"/>
    <mergeCell ref="AX183:AZ183"/>
    <mergeCell ref="BA183:BC183"/>
    <mergeCell ref="BD183:BF183"/>
    <mergeCell ref="BG183:BI183"/>
    <mergeCell ref="BJ183:BL183"/>
    <mergeCell ref="BM183:BO183"/>
    <mergeCell ref="BP183:BR183"/>
    <mergeCell ref="BS183:BU183"/>
    <mergeCell ref="BV183:BX183"/>
    <mergeCell ref="BY183:CA183"/>
    <mergeCell ref="CB183:CD183"/>
    <mergeCell ref="CE183:CG183"/>
    <mergeCell ref="CH183:CJ183"/>
    <mergeCell ref="AU184:AW184"/>
    <mergeCell ref="AX184:AZ184"/>
    <mergeCell ref="BA184:BC184"/>
    <mergeCell ref="BD184:BF184"/>
    <mergeCell ref="BG184:BI184"/>
    <mergeCell ref="BJ184:BL184"/>
    <mergeCell ref="BM184:BO184"/>
    <mergeCell ref="BP184:BR184"/>
    <mergeCell ref="BS184:BU184"/>
    <mergeCell ref="BV184:BX184"/>
    <mergeCell ref="BY184:CA184"/>
    <mergeCell ref="CB184:CD184"/>
    <mergeCell ref="CE184:CG184"/>
    <mergeCell ref="CH184:CJ184"/>
    <mergeCell ref="AU185:AW185"/>
    <mergeCell ref="AX185:AZ185"/>
    <mergeCell ref="BA185:BC185"/>
    <mergeCell ref="BD185:BF185"/>
    <mergeCell ref="BG185:BI185"/>
    <mergeCell ref="BJ185:BL185"/>
    <mergeCell ref="BM185:BO185"/>
    <mergeCell ref="BP185:BR185"/>
    <mergeCell ref="BS185:BU185"/>
    <mergeCell ref="BV185:BX185"/>
    <mergeCell ref="BY185:CA185"/>
    <mergeCell ref="CB185:CD185"/>
    <mergeCell ref="CE185:CG185"/>
    <mergeCell ref="CH185:CJ185"/>
    <mergeCell ref="AU186:AW186"/>
    <mergeCell ref="AX186:AZ186"/>
    <mergeCell ref="BA186:BC186"/>
    <mergeCell ref="BD186:BF186"/>
    <mergeCell ref="BG186:BI186"/>
    <mergeCell ref="BJ186:BL186"/>
    <mergeCell ref="BM186:BO186"/>
    <mergeCell ref="BP186:BR186"/>
    <mergeCell ref="BS186:BU186"/>
    <mergeCell ref="BV186:BX186"/>
    <mergeCell ref="BY186:CA186"/>
    <mergeCell ref="CB186:CD186"/>
    <mergeCell ref="CE186:CG186"/>
    <mergeCell ref="CH186:CJ186"/>
    <mergeCell ref="E187:G187"/>
    <mergeCell ref="J187:K187"/>
    <mergeCell ref="M187:N187"/>
    <mergeCell ref="Q187:S187"/>
    <mergeCell ref="V187:W187"/>
    <mergeCell ref="Y187:Z187"/>
    <mergeCell ref="AC187:AD187"/>
    <mergeCell ref="AF187:AI187"/>
    <mergeCell ref="AU188:AW188"/>
    <mergeCell ref="AX188:AZ188"/>
    <mergeCell ref="BA188:BC188"/>
    <mergeCell ref="BD188:BF188"/>
    <mergeCell ref="BG188:BI188"/>
    <mergeCell ref="BJ188:BL188"/>
    <mergeCell ref="BM188:BO188"/>
    <mergeCell ref="BP188:BR188"/>
    <mergeCell ref="BS188:BU188"/>
    <mergeCell ref="BV188:BX188"/>
    <mergeCell ref="BY188:CA188"/>
    <mergeCell ref="CB188:CD188"/>
    <mergeCell ref="CE188:CG188"/>
    <mergeCell ref="CH188:CJ188"/>
    <mergeCell ref="AU189:AW189"/>
    <mergeCell ref="AX189:AZ189"/>
    <mergeCell ref="BA189:BC189"/>
    <mergeCell ref="BD189:BF189"/>
    <mergeCell ref="BG189:BI189"/>
    <mergeCell ref="BJ189:BL189"/>
    <mergeCell ref="BM189:BO189"/>
    <mergeCell ref="BP189:BR189"/>
    <mergeCell ref="BS189:BU189"/>
    <mergeCell ref="BV189:BX189"/>
    <mergeCell ref="BY189:CA189"/>
    <mergeCell ref="CB189:CD189"/>
    <mergeCell ref="CE189:CG189"/>
    <mergeCell ref="CH189:CJ189"/>
    <mergeCell ref="AU190:AW190"/>
    <mergeCell ref="AX190:AZ190"/>
    <mergeCell ref="BA190:BC190"/>
    <mergeCell ref="BD190:BF190"/>
    <mergeCell ref="BG190:BI190"/>
    <mergeCell ref="BJ190:BL190"/>
    <mergeCell ref="BM190:BO190"/>
    <mergeCell ref="BP190:BR190"/>
    <mergeCell ref="BS190:BU190"/>
    <mergeCell ref="BV190:BX190"/>
    <mergeCell ref="BY190:CA190"/>
    <mergeCell ref="CB190:CD190"/>
    <mergeCell ref="CE190:CG190"/>
    <mergeCell ref="CH190:CJ190"/>
    <mergeCell ref="AU191:AW191"/>
    <mergeCell ref="AX191:AZ191"/>
    <mergeCell ref="BA191:BC191"/>
    <mergeCell ref="BD191:BF191"/>
    <mergeCell ref="BG191:BI191"/>
    <mergeCell ref="BJ191:BL191"/>
    <mergeCell ref="BM191:BO191"/>
    <mergeCell ref="BP191:BR191"/>
    <mergeCell ref="BS191:BU191"/>
    <mergeCell ref="BV191:BX191"/>
    <mergeCell ref="BY191:CA191"/>
    <mergeCell ref="CB191:CD191"/>
    <mergeCell ref="CE191:CG191"/>
    <mergeCell ref="CH191:CJ191"/>
    <mergeCell ref="AU193:AW193"/>
    <mergeCell ref="AX193:AZ193"/>
    <mergeCell ref="BA193:BC193"/>
    <mergeCell ref="BD193:BF193"/>
    <mergeCell ref="BG193:BI193"/>
    <mergeCell ref="BJ193:BL193"/>
    <mergeCell ref="BM193:BO193"/>
    <mergeCell ref="BP193:BR193"/>
    <mergeCell ref="BS193:BU193"/>
    <mergeCell ref="BV193:BX193"/>
    <mergeCell ref="BY193:CA193"/>
    <mergeCell ref="CB193:CD193"/>
    <mergeCell ref="CE193:CG193"/>
    <mergeCell ref="CH193:CJ193"/>
    <mergeCell ref="S194:V194"/>
    <mergeCell ref="AU194:AW194"/>
    <mergeCell ref="AX194:AZ194"/>
    <mergeCell ref="BA194:BC194"/>
    <mergeCell ref="BD194:BF194"/>
    <mergeCell ref="BG194:BI194"/>
    <mergeCell ref="BJ194:BL194"/>
    <mergeCell ref="BM194:BO194"/>
    <mergeCell ref="BP194:BR194"/>
    <mergeCell ref="BS194:BU194"/>
    <mergeCell ref="BV194:BX194"/>
    <mergeCell ref="BY194:CA194"/>
    <mergeCell ref="CB194:CD194"/>
    <mergeCell ref="CE194:CG194"/>
    <mergeCell ref="CH194:CJ194"/>
    <mergeCell ref="H195:K195"/>
    <mergeCell ref="AU195:AW195"/>
    <mergeCell ref="AX195:AZ195"/>
    <mergeCell ref="BA195:BC195"/>
    <mergeCell ref="BD195:BF195"/>
    <mergeCell ref="BG195:BI195"/>
    <mergeCell ref="BJ195:BL195"/>
    <mergeCell ref="BM195:BO195"/>
    <mergeCell ref="BP195:BR195"/>
    <mergeCell ref="BS195:BU195"/>
    <mergeCell ref="BV195:BX195"/>
    <mergeCell ref="BY195:CA195"/>
    <mergeCell ref="CB195:CD195"/>
    <mergeCell ref="CE195:CG195"/>
    <mergeCell ref="CH195:CJ195"/>
    <mergeCell ref="S196:V196"/>
    <mergeCell ref="AU196:AW196"/>
    <mergeCell ref="AX196:AZ196"/>
    <mergeCell ref="BA196:BC196"/>
    <mergeCell ref="BD196:BF196"/>
    <mergeCell ref="BG196:BI196"/>
    <mergeCell ref="BJ196:BL196"/>
    <mergeCell ref="BM196:BO196"/>
    <mergeCell ref="BP196:BR196"/>
    <mergeCell ref="BS196:BU196"/>
    <mergeCell ref="BV196:BX196"/>
    <mergeCell ref="BY196:CA196"/>
    <mergeCell ref="CB196:CD196"/>
    <mergeCell ref="CE196:CG196"/>
    <mergeCell ref="CH196:CJ196"/>
    <mergeCell ref="E197:I198"/>
    <mergeCell ref="K197:L197"/>
    <mergeCell ref="P197:P198"/>
    <mergeCell ref="T197:V197"/>
    <mergeCell ref="AA197:AB198"/>
    <mergeCell ref="AC197:AE198"/>
    <mergeCell ref="AF197:AG198"/>
    <mergeCell ref="J198:K198"/>
    <mergeCell ref="R198:S198"/>
    <mergeCell ref="U198:W198"/>
    <mergeCell ref="Y198:Z198"/>
    <mergeCell ref="AU198:AW198"/>
    <mergeCell ref="AX198:AZ198"/>
    <mergeCell ref="BA198:BC198"/>
    <mergeCell ref="BD198:BF198"/>
    <mergeCell ref="BG198:BI198"/>
    <mergeCell ref="BJ198:BL198"/>
    <mergeCell ref="BM198:BO198"/>
    <mergeCell ref="BP198:BR198"/>
    <mergeCell ref="BS198:BU198"/>
    <mergeCell ref="BV198:BX198"/>
    <mergeCell ref="BY198:CA198"/>
    <mergeCell ref="CB198:CD198"/>
    <mergeCell ref="CE198:CG198"/>
    <mergeCell ref="CH198:CJ198"/>
    <mergeCell ref="O199:R199"/>
    <mergeCell ref="AU199:AW199"/>
    <mergeCell ref="AX199:AZ199"/>
    <mergeCell ref="BA199:BC199"/>
    <mergeCell ref="BD199:BF199"/>
    <mergeCell ref="BG199:BI199"/>
    <mergeCell ref="BJ199:BL199"/>
    <mergeCell ref="BM199:BO199"/>
    <mergeCell ref="BP199:BR199"/>
    <mergeCell ref="BS199:BU199"/>
    <mergeCell ref="BV199:BX199"/>
    <mergeCell ref="BY199:CA199"/>
    <mergeCell ref="CB199:CD199"/>
    <mergeCell ref="CE199:CG199"/>
    <mergeCell ref="CH199:CJ199"/>
    <mergeCell ref="F200:G200"/>
    <mergeCell ref="J200:J201"/>
    <mergeCell ref="K200:O201"/>
    <mergeCell ref="Q200:R200"/>
    <mergeCell ref="U200:U201"/>
    <mergeCell ref="X200:Z200"/>
    <mergeCell ref="AE200:AE201"/>
    <mergeCell ref="BA200:BC200"/>
    <mergeCell ref="BD200:BF200"/>
    <mergeCell ref="BG200:BI200"/>
    <mergeCell ref="BJ200:BL200"/>
    <mergeCell ref="BM200:BO200"/>
    <mergeCell ref="BP200:BR200"/>
    <mergeCell ref="BS200:BU200"/>
    <mergeCell ref="BV200:BX200"/>
    <mergeCell ref="BY200:CA200"/>
    <mergeCell ref="CB200:CD200"/>
    <mergeCell ref="CE200:CG200"/>
    <mergeCell ref="CH200:CJ200"/>
    <mergeCell ref="E201:F201"/>
    <mergeCell ref="P201:Q201"/>
    <mergeCell ref="V201:W201"/>
    <mergeCell ref="Y201:AA201"/>
    <mergeCell ref="AC201:AD201"/>
    <mergeCell ref="AU201:AW201"/>
    <mergeCell ref="AX201:AZ201"/>
    <mergeCell ref="BA201:BC201"/>
    <mergeCell ref="AF200:AH201"/>
    <mergeCell ref="AI200:AJ201"/>
    <mergeCell ref="AU200:AW200"/>
    <mergeCell ref="AX200:AZ200"/>
    <mergeCell ref="BD201:BF201"/>
    <mergeCell ref="BG201:BI201"/>
    <mergeCell ref="BJ201:BL201"/>
    <mergeCell ref="BM201:BO201"/>
    <mergeCell ref="CB201:CD201"/>
    <mergeCell ref="CE201:CG201"/>
    <mergeCell ref="CH201:CJ201"/>
    <mergeCell ref="O202:Q202"/>
    <mergeCell ref="S202:T202"/>
    <mergeCell ref="AF202:AI202"/>
    <mergeCell ref="BP201:BR201"/>
    <mergeCell ref="BS201:BU201"/>
    <mergeCell ref="BV201:BX201"/>
    <mergeCell ref="BY201:CA201"/>
    <mergeCell ref="F203:G203"/>
    <mergeCell ref="J203:J204"/>
    <mergeCell ref="K203:O204"/>
    <mergeCell ref="Q203:R203"/>
    <mergeCell ref="AI203:AJ204"/>
    <mergeCell ref="E204:F204"/>
    <mergeCell ref="P204:Q204"/>
    <mergeCell ref="V204:W204"/>
    <mergeCell ref="Y204:AA204"/>
    <mergeCell ref="AC204:AD204"/>
    <mergeCell ref="U203:U204"/>
    <mergeCell ref="X203:Z203"/>
    <mergeCell ref="AE203:AE204"/>
    <mergeCell ref="AF203:AH204"/>
    <mergeCell ref="N205:Q205"/>
    <mergeCell ref="AA205:AD205"/>
    <mergeCell ref="J206:L206"/>
    <mergeCell ref="L207:O207"/>
    <mergeCell ref="C210:G212"/>
    <mergeCell ref="H210:AA210"/>
    <mergeCell ref="AB210:AI211"/>
    <mergeCell ref="AJ210:AQ210"/>
    <mergeCell ref="H211:Q211"/>
    <mergeCell ref="R211:AA211"/>
    <mergeCell ref="AJ211:AQ211"/>
    <mergeCell ref="H212:L212"/>
    <mergeCell ref="M212:Q212"/>
    <mergeCell ref="R212:V212"/>
    <mergeCell ref="W212:AA212"/>
    <mergeCell ref="AB212:AE212"/>
    <mergeCell ref="AF212:AI212"/>
    <mergeCell ref="AJ212:AM212"/>
    <mergeCell ref="AN212:AQ212"/>
    <mergeCell ref="C213:G213"/>
    <mergeCell ref="H213:L213"/>
    <mergeCell ref="M213:Q213"/>
    <mergeCell ref="R213:V213"/>
    <mergeCell ref="W213:AA213"/>
    <mergeCell ref="AB213:AE213"/>
    <mergeCell ref="AF213:AI213"/>
    <mergeCell ref="AJ213:AM213"/>
    <mergeCell ref="AN213:AQ213"/>
    <mergeCell ref="C214:G214"/>
    <mergeCell ref="H214:L214"/>
    <mergeCell ref="M214:Q214"/>
    <mergeCell ref="R214:V214"/>
    <mergeCell ref="W214:AA214"/>
    <mergeCell ref="AB214:AE214"/>
    <mergeCell ref="AF214:AI214"/>
    <mergeCell ref="AJ214:AM214"/>
    <mergeCell ref="AG219:AH220"/>
    <mergeCell ref="AN214:AQ214"/>
    <mergeCell ref="F219:F220"/>
    <mergeCell ref="G219:H219"/>
    <mergeCell ref="I219:L220"/>
    <mergeCell ref="M219:N219"/>
    <mergeCell ref="O219:P220"/>
    <mergeCell ref="Q219:Q220"/>
    <mergeCell ref="R219:R220"/>
    <mergeCell ref="S219:W219"/>
    <mergeCell ref="G220:H220"/>
    <mergeCell ref="M220:N220"/>
    <mergeCell ref="S220:W220"/>
    <mergeCell ref="AB220:AF220"/>
    <mergeCell ref="Z219:Z220"/>
    <mergeCell ref="AA219:AA220"/>
    <mergeCell ref="AB219:AF219"/>
    <mergeCell ref="X219:Y220"/>
    <mergeCell ref="R221:U221"/>
    <mergeCell ref="W221:Z221"/>
    <mergeCell ref="AB221:AE221"/>
    <mergeCell ref="AI221:AK221"/>
    <mergeCell ref="Q224:Q225"/>
    <mergeCell ref="R224:R225"/>
    <mergeCell ref="S224:W224"/>
    <mergeCell ref="F224:F225"/>
    <mergeCell ref="G224:H224"/>
    <mergeCell ref="I224:L225"/>
    <mergeCell ref="M224:N224"/>
    <mergeCell ref="AG224:AH225"/>
    <mergeCell ref="G225:H225"/>
    <mergeCell ref="M225:N225"/>
    <mergeCell ref="S225:W225"/>
    <mergeCell ref="AB225:AF225"/>
    <mergeCell ref="X224:Y225"/>
    <mergeCell ref="Z224:Z225"/>
    <mergeCell ref="AA224:AA225"/>
    <mergeCell ref="AB224:AF224"/>
    <mergeCell ref="O224:P225"/>
    <mergeCell ref="R226:U226"/>
    <mergeCell ref="W226:Z226"/>
    <mergeCell ref="AB226:AE226"/>
    <mergeCell ref="AI226:AK226"/>
    <mergeCell ref="G235:H235"/>
    <mergeCell ref="M235:N235"/>
    <mergeCell ref="V235:X235"/>
    <mergeCell ref="AG236:AJ236"/>
    <mergeCell ref="AG238:AI238"/>
    <mergeCell ref="AG239:AI239"/>
    <mergeCell ref="AM239:AO239"/>
    <mergeCell ref="AG240:AI240"/>
    <mergeCell ref="AG242:AI242"/>
    <mergeCell ref="AM242:AO242"/>
    <mergeCell ref="M243:R243"/>
    <mergeCell ref="AG244:AI244"/>
    <mergeCell ref="AM244:AO244"/>
    <mergeCell ref="CA244:CC244"/>
    <mergeCell ref="F245:H245"/>
    <mergeCell ref="N245:S245"/>
    <mergeCell ref="X245:Z245"/>
    <mergeCell ref="AG245:AI245"/>
    <mergeCell ref="CA245:CC245"/>
    <mergeCell ref="AG246:AI246"/>
    <mergeCell ref="CA246:CC246"/>
    <mergeCell ref="AG247:AI247"/>
    <mergeCell ref="CA247:CC247"/>
    <mergeCell ref="AG248:AI248"/>
    <mergeCell ref="CA248:CC248"/>
    <mergeCell ref="AG249:AI249"/>
    <mergeCell ref="AG250:AH250"/>
    <mergeCell ref="AJ250:AK250"/>
    <mergeCell ref="AN250:AO250"/>
    <mergeCell ref="AQ250:AR250"/>
    <mergeCell ref="D252:AB252"/>
    <mergeCell ref="AC252:AF252"/>
    <mergeCell ref="AG252:AL252"/>
    <mergeCell ref="AC253:AF253"/>
    <mergeCell ref="AG253:AL253"/>
    <mergeCell ref="AC254:AF254"/>
    <mergeCell ref="AG254:AL254"/>
    <mergeCell ref="AC255:AF255"/>
    <mergeCell ref="AG255:AL255"/>
    <mergeCell ref="AC256:AF256"/>
    <mergeCell ref="AG256:AL256"/>
    <mergeCell ref="AC257:AF257"/>
    <mergeCell ref="AG257:AL257"/>
    <mergeCell ref="AC258:AF258"/>
    <mergeCell ref="AG258:AL258"/>
    <mergeCell ref="AC259:AF259"/>
    <mergeCell ref="AG259:AL259"/>
    <mergeCell ref="C262:J262"/>
    <mergeCell ref="K262:M262"/>
    <mergeCell ref="N262:P262"/>
    <mergeCell ref="Q262:T262"/>
    <mergeCell ref="U262:X262"/>
    <mergeCell ref="Y262:AC262"/>
    <mergeCell ref="AD262:AI262"/>
    <mergeCell ref="AJ262:AO262"/>
    <mergeCell ref="K263:M263"/>
    <mergeCell ref="N263:P263"/>
    <mergeCell ref="Q263:T263"/>
    <mergeCell ref="U263:X263"/>
    <mergeCell ref="Y263:AC263"/>
    <mergeCell ref="AD263:AI263"/>
    <mergeCell ref="AJ263:AO263"/>
    <mergeCell ref="K264:M264"/>
    <mergeCell ref="N264:P264"/>
    <mergeCell ref="Q264:T264"/>
    <mergeCell ref="U264:X264"/>
    <mergeCell ref="Y264:AC264"/>
    <mergeCell ref="AD264:AI264"/>
    <mergeCell ref="AJ264:AO264"/>
    <mergeCell ref="K265:M265"/>
    <mergeCell ref="N265:P265"/>
    <mergeCell ref="Q265:T265"/>
    <mergeCell ref="U265:X265"/>
    <mergeCell ref="Y265:AC265"/>
    <mergeCell ref="AD265:AI265"/>
    <mergeCell ref="AJ265:AO265"/>
    <mergeCell ref="K266:M266"/>
    <mergeCell ref="N266:P266"/>
    <mergeCell ref="Q266:T266"/>
    <mergeCell ref="U266:X266"/>
    <mergeCell ref="Y266:AC266"/>
    <mergeCell ref="AD266:AI266"/>
    <mergeCell ref="AJ266:AO266"/>
    <mergeCell ref="K267:M267"/>
    <mergeCell ref="N267:P267"/>
    <mergeCell ref="Q267:T267"/>
    <mergeCell ref="U267:X267"/>
    <mergeCell ref="Y267:AC267"/>
    <mergeCell ref="AD267:AI267"/>
    <mergeCell ref="AJ267:AO267"/>
    <mergeCell ref="K268:M268"/>
    <mergeCell ref="N268:P268"/>
    <mergeCell ref="Q268:T268"/>
    <mergeCell ref="U268:X268"/>
    <mergeCell ref="Y268:AC268"/>
    <mergeCell ref="AD268:AI268"/>
    <mergeCell ref="AJ268:AO268"/>
    <mergeCell ref="C269:J269"/>
    <mergeCell ref="Q269:T269"/>
    <mergeCell ref="Y269:AC269"/>
    <mergeCell ref="AD269:AI269"/>
    <mergeCell ref="AJ269:AO269"/>
    <mergeCell ref="L284:P284"/>
    <mergeCell ref="R284:X284"/>
    <mergeCell ref="Z284:AE284"/>
    <mergeCell ref="L285:P285"/>
    <mergeCell ref="R285:V285"/>
    <mergeCell ref="X285:AC285"/>
    <mergeCell ref="L286:P286"/>
    <mergeCell ref="R286:V286"/>
    <mergeCell ref="X286:AB286"/>
    <mergeCell ref="AD286:AI286"/>
    <mergeCell ref="M287:P287"/>
    <mergeCell ref="U287:V287"/>
    <mergeCell ref="X287:AB287"/>
    <mergeCell ref="AD287:AI287"/>
    <mergeCell ref="P288:T288"/>
    <mergeCell ref="V288:Y288"/>
    <mergeCell ref="AA288:AE288"/>
    <mergeCell ref="AB289:AF289"/>
    <mergeCell ref="M290:Q290"/>
    <mergeCell ref="M291:Q291"/>
    <mergeCell ref="S292:W292"/>
    <mergeCell ref="N295:R295"/>
    <mergeCell ref="N296:R296"/>
    <mergeCell ref="S297:W297"/>
    <mergeCell ref="Z300:AC300"/>
    <mergeCell ref="AJ300:AL300"/>
    <mergeCell ref="AU300:AW300"/>
    <mergeCell ref="AX300:AZ300"/>
    <mergeCell ref="BA300:BC300"/>
    <mergeCell ref="BD300:BF300"/>
    <mergeCell ref="BG300:BI300"/>
    <mergeCell ref="BJ300:BL300"/>
    <mergeCell ref="BM300:BO300"/>
    <mergeCell ref="BP300:BR300"/>
    <mergeCell ref="BS300:BU300"/>
    <mergeCell ref="BV300:BX300"/>
    <mergeCell ref="BY300:CA300"/>
    <mergeCell ref="CB300:CD300"/>
    <mergeCell ref="CE300:CG300"/>
    <mergeCell ref="CH300:CJ300"/>
    <mergeCell ref="AU301:AW301"/>
    <mergeCell ref="AX301:AZ301"/>
    <mergeCell ref="BA301:BC301"/>
    <mergeCell ref="BD301:BF301"/>
    <mergeCell ref="BG301:BI301"/>
    <mergeCell ref="BJ301:BL301"/>
    <mergeCell ref="BM301:BO301"/>
    <mergeCell ref="BP301:BR301"/>
    <mergeCell ref="BS301:BU301"/>
    <mergeCell ref="BV301:BX301"/>
    <mergeCell ref="BY301:CA301"/>
    <mergeCell ref="CB301:CD301"/>
    <mergeCell ref="CE301:CG301"/>
    <mergeCell ref="CH301:CJ301"/>
    <mergeCell ref="AU302:AW302"/>
    <mergeCell ref="AX302:AZ302"/>
    <mergeCell ref="BA302:BC302"/>
    <mergeCell ref="BD302:BF302"/>
    <mergeCell ref="BG302:BI302"/>
    <mergeCell ref="BJ302:BL302"/>
    <mergeCell ref="BM302:BO302"/>
    <mergeCell ref="BP302:BR302"/>
    <mergeCell ref="BS302:BU302"/>
    <mergeCell ref="BV302:BX302"/>
    <mergeCell ref="BY302:CA302"/>
    <mergeCell ref="CB302:CD302"/>
    <mergeCell ref="CE302:CG302"/>
    <mergeCell ref="CH302:CJ302"/>
    <mergeCell ref="AU303:AW303"/>
    <mergeCell ref="AX303:AZ303"/>
    <mergeCell ref="BA303:BC303"/>
    <mergeCell ref="BD303:BF303"/>
    <mergeCell ref="BG303:BI303"/>
    <mergeCell ref="BJ303:BL303"/>
    <mergeCell ref="BM303:BO303"/>
    <mergeCell ref="BP303:BR303"/>
    <mergeCell ref="BS303:BU303"/>
    <mergeCell ref="BV303:BX303"/>
    <mergeCell ref="BY303:CA303"/>
    <mergeCell ref="CB303:CD303"/>
    <mergeCell ref="CE303:CG303"/>
    <mergeCell ref="CH303:CJ303"/>
    <mergeCell ref="E304:G304"/>
    <mergeCell ref="J304:K304"/>
    <mergeCell ref="M304:N304"/>
    <mergeCell ref="Q304:S304"/>
    <mergeCell ref="V304:W304"/>
    <mergeCell ref="Y304:Z304"/>
    <mergeCell ref="AC304:AD304"/>
    <mergeCell ref="AF304:AI304"/>
    <mergeCell ref="AU305:AW305"/>
    <mergeCell ref="AX305:AZ305"/>
    <mergeCell ref="BA305:BC305"/>
    <mergeCell ref="BD305:BF305"/>
    <mergeCell ref="BG305:BI305"/>
    <mergeCell ref="BJ305:BL305"/>
    <mergeCell ref="BM305:BO305"/>
    <mergeCell ref="BP305:BR305"/>
    <mergeCell ref="BS305:BU305"/>
    <mergeCell ref="BV305:BX305"/>
    <mergeCell ref="BY305:CA305"/>
    <mergeCell ref="CB305:CD305"/>
    <mergeCell ref="CE305:CG305"/>
    <mergeCell ref="CH305:CJ305"/>
    <mergeCell ref="AU306:AW306"/>
    <mergeCell ref="AX306:AZ306"/>
    <mergeCell ref="BA306:BC306"/>
    <mergeCell ref="BD306:BF306"/>
    <mergeCell ref="BG306:BI306"/>
    <mergeCell ref="BJ306:BL306"/>
    <mergeCell ref="BM306:BO306"/>
    <mergeCell ref="BP306:BR306"/>
    <mergeCell ref="BS306:BU306"/>
    <mergeCell ref="BV306:BX306"/>
    <mergeCell ref="BY306:CA306"/>
    <mergeCell ref="CB306:CD306"/>
    <mergeCell ref="CE306:CG306"/>
    <mergeCell ref="CH306:CJ306"/>
    <mergeCell ref="AU307:AW307"/>
    <mergeCell ref="AX307:AZ307"/>
    <mergeCell ref="BA307:BC307"/>
    <mergeCell ref="BD307:BF307"/>
    <mergeCell ref="BG307:BI307"/>
    <mergeCell ref="BJ307:BL307"/>
    <mergeCell ref="BM307:BO307"/>
    <mergeCell ref="BP307:BR307"/>
    <mergeCell ref="BS307:BU307"/>
    <mergeCell ref="BV307:BX307"/>
    <mergeCell ref="BY307:CA307"/>
    <mergeCell ref="CB307:CD307"/>
    <mergeCell ref="CE307:CG307"/>
    <mergeCell ref="CH307:CJ307"/>
    <mergeCell ref="AU308:AW308"/>
    <mergeCell ref="AX308:AZ308"/>
    <mergeCell ref="BA308:BC308"/>
    <mergeCell ref="BD308:BF308"/>
    <mergeCell ref="BG308:BI308"/>
    <mergeCell ref="BJ308:BL308"/>
    <mergeCell ref="BM308:BO308"/>
    <mergeCell ref="BP308:BR308"/>
    <mergeCell ref="BS308:BU308"/>
    <mergeCell ref="BV308:BX308"/>
    <mergeCell ref="BY308:CA308"/>
    <mergeCell ref="CB308:CD308"/>
    <mergeCell ref="CE308:CG308"/>
    <mergeCell ref="CH308:CJ308"/>
    <mergeCell ref="AU310:AW310"/>
    <mergeCell ref="AX310:AZ310"/>
    <mergeCell ref="BA310:BC310"/>
    <mergeCell ref="BD310:BF310"/>
    <mergeCell ref="BG310:BI310"/>
    <mergeCell ref="BJ310:BL310"/>
    <mergeCell ref="BM310:BO310"/>
    <mergeCell ref="BP310:BR310"/>
    <mergeCell ref="BS310:BU310"/>
    <mergeCell ref="BV310:BX310"/>
    <mergeCell ref="BY310:CA310"/>
    <mergeCell ref="CB310:CD310"/>
    <mergeCell ref="CE310:CG310"/>
    <mergeCell ref="CH310:CJ310"/>
    <mergeCell ref="S311:V311"/>
    <mergeCell ref="AU311:AW311"/>
    <mergeCell ref="AX311:AZ311"/>
    <mergeCell ref="BA311:BC311"/>
    <mergeCell ref="BD311:BF311"/>
    <mergeCell ref="BG311:BI311"/>
    <mergeCell ref="BJ311:BL311"/>
    <mergeCell ref="BM311:BO311"/>
    <mergeCell ref="BP311:BR311"/>
    <mergeCell ref="BS311:BU311"/>
    <mergeCell ref="BV311:BX311"/>
    <mergeCell ref="BY311:CA311"/>
    <mergeCell ref="CB311:CD311"/>
    <mergeCell ref="CE311:CG311"/>
    <mergeCell ref="CH311:CJ311"/>
    <mergeCell ref="H312:K312"/>
    <mergeCell ref="AU312:AW312"/>
    <mergeCell ref="AX312:AZ312"/>
    <mergeCell ref="BA312:BC312"/>
    <mergeCell ref="BD312:BF312"/>
    <mergeCell ref="BG312:BI312"/>
    <mergeCell ref="BJ312:BL312"/>
    <mergeCell ref="BM312:BO312"/>
    <mergeCell ref="BP312:BR312"/>
    <mergeCell ref="BS312:BU312"/>
    <mergeCell ref="BV312:BX312"/>
    <mergeCell ref="BY312:CA312"/>
    <mergeCell ref="CB312:CD312"/>
    <mergeCell ref="CE312:CG312"/>
    <mergeCell ref="CH312:CJ312"/>
    <mergeCell ref="S313:V313"/>
    <mergeCell ref="AU313:AW313"/>
    <mergeCell ref="AX313:AZ313"/>
    <mergeCell ref="BA313:BC313"/>
    <mergeCell ref="BD313:BF313"/>
    <mergeCell ref="BG313:BI313"/>
    <mergeCell ref="BJ313:BL313"/>
    <mergeCell ref="BM313:BO313"/>
    <mergeCell ref="BP313:BR313"/>
    <mergeCell ref="BS313:BU313"/>
    <mergeCell ref="BV313:BX313"/>
    <mergeCell ref="BY313:CA313"/>
    <mergeCell ref="CB313:CD313"/>
    <mergeCell ref="CE313:CG313"/>
    <mergeCell ref="CH313:CJ313"/>
    <mergeCell ref="E314:I315"/>
    <mergeCell ref="K314:L314"/>
    <mergeCell ref="P314:P315"/>
    <mergeCell ref="T314:V314"/>
    <mergeCell ref="AA314:AB315"/>
    <mergeCell ref="AC314:AE315"/>
    <mergeCell ref="AF314:AG315"/>
    <mergeCell ref="J315:K315"/>
    <mergeCell ref="R315:S315"/>
    <mergeCell ref="U315:W315"/>
    <mergeCell ref="Y315:Z315"/>
    <mergeCell ref="AU315:AW315"/>
    <mergeCell ref="AX315:AZ315"/>
    <mergeCell ref="BA315:BC315"/>
    <mergeCell ref="BD315:BF315"/>
    <mergeCell ref="BG315:BI315"/>
    <mergeCell ref="BJ315:BL315"/>
    <mergeCell ref="BM315:BO315"/>
    <mergeCell ref="BP315:BR315"/>
    <mergeCell ref="BS315:BU315"/>
    <mergeCell ref="BV315:BX315"/>
    <mergeCell ref="BY315:CA315"/>
    <mergeCell ref="CB315:CD315"/>
    <mergeCell ref="CE315:CG315"/>
    <mergeCell ref="CH315:CJ315"/>
    <mergeCell ref="O316:R316"/>
    <mergeCell ref="AU316:AW316"/>
    <mergeCell ref="AX316:AZ316"/>
    <mergeCell ref="BA316:BC316"/>
    <mergeCell ref="BD316:BF316"/>
    <mergeCell ref="BG316:BI316"/>
    <mergeCell ref="BJ316:BL316"/>
    <mergeCell ref="BM316:BO316"/>
    <mergeCell ref="BP316:BR316"/>
    <mergeCell ref="BS316:BU316"/>
    <mergeCell ref="BV316:BX316"/>
    <mergeCell ref="BY316:CA316"/>
    <mergeCell ref="CB316:CD316"/>
    <mergeCell ref="CE316:CG316"/>
    <mergeCell ref="CH316:CJ316"/>
    <mergeCell ref="F317:G317"/>
    <mergeCell ref="J317:J318"/>
    <mergeCell ref="K317:O318"/>
    <mergeCell ref="Q317:R317"/>
    <mergeCell ref="U317:U318"/>
    <mergeCell ref="X317:Z317"/>
    <mergeCell ref="AE317:AE318"/>
    <mergeCell ref="BA317:BC317"/>
    <mergeCell ref="BD317:BF317"/>
    <mergeCell ref="BG317:BI317"/>
    <mergeCell ref="BJ317:BL317"/>
    <mergeCell ref="BM317:BO317"/>
    <mergeCell ref="BP317:BR317"/>
    <mergeCell ref="BS317:BU317"/>
    <mergeCell ref="BV317:BX317"/>
    <mergeCell ref="BY317:CA317"/>
    <mergeCell ref="CB317:CD317"/>
    <mergeCell ref="CE317:CG317"/>
    <mergeCell ref="CH317:CJ317"/>
    <mergeCell ref="E318:F318"/>
    <mergeCell ref="P318:Q318"/>
    <mergeCell ref="V318:W318"/>
    <mergeCell ref="Y318:AA318"/>
    <mergeCell ref="AC318:AD318"/>
    <mergeCell ref="AU318:AW318"/>
    <mergeCell ref="AX318:AZ318"/>
    <mergeCell ref="BA318:BC318"/>
    <mergeCell ref="AF317:AH318"/>
    <mergeCell ref="AI317:AJ318"/>
    <mergeCell ref="AU317:AW317"/>
    <mergeCell ref="AX317:AZ317"/>
    <mergeCell ref="BD318:BF318"/>
    <mergeCell ref="BG318:BI318"/>
    <mergeCell ref="BJ318:BL318"/>
    <mergeCell ref="BM318:BO318"/>
    <mergeCell ref="CB318:CD318"/>
    <mergeCell ref="CE318:CG318"/>
    <mergeCell ref="CH318:CJ318"/>
    <mergeCell ref="O319:Q319"/>
    <mergeCell ref="S319:T319"/>
    <mergeCell ref="AF319:AI319"/>
    <mergeCell ref="BP318:BR318"/>
    <mergeCell ref="BS318:BU318"/>
    <mergeCell ref="BV318:BX318"/>
    <mergeCell ref="BY318:CA318"/>
    <mergeCell ref="F320:G320"/>
    <mergeCell ref="J320:J321"/>
    <mergeCell ref="K320:O321"/>
    <mergeCell ref="Q320:R320"/>
    <mergeCell ref="AI320:AJ321"/>
    <mergeCell ref="E321:F321"/>
    <mergeCell ref="P321:Q321"/>
    <mergeCell ref="V321:W321"/>
    <mergeCell ref="Y321:AA321"/>
    <mergeCell ref="AC321:AD321"/>
    <mergeCell ref="U320:U321"/>
    <mergeCell ref="X320:Z320"/>
    <mergeCell ref="AE320:AE321"/>
    <mergeCell ref="AF320:AH321"/>
    <mergeCell ref="N322:Q322"/>
    <mergeCell ref="AA322:AD322"/>
    <mergeCell ref="J323:L323"/>
    <mergeCell ref="L324:O324"/>
    <mergeCell ref="C327:G329"/>
    <mergeCell ref="H327:AA327"/>
    <mergeCell ref="AB327:AI328"/>
    <mergeCell ref="AJ327:AQ327"/>
    <mergeCell ref="H328:Q328"/>
    <mergeCell ref="R328:AA328"/>
    <mergeCell ref="AJ328:AQ328"/>
    <mergeCell ref="H329:L329"/>
    <mergeCell ref="M329:Q329"/>
    <mergeCell ref="R329:V329"/>
    <mergeCell ref="W329:AA329"/>
    <mergeCell ref="AB329:AE329"/>
    <mergeCell ref="AF329:AI329"/>
    <mergeCell ref="AJ329:AM329"/>
    <mergeCell ref="AN329:AQ329"/>
    <mergeCell ref="C330:G330"/>
    <mergeCell ref="H330:L330"/>
    <mergeCell ref="M330:Q330"/>
    <mergeCell ref="R330:V330"/>
    <mergeCell ref="W330:AA330"/>
    <mergeCell ref="AB330:AE330"/>
    <mergeCell ref="AF330:AI330"/>
    <mergeCell ref="AJ330:AM330"/>
    <mergeCell ref="AN330:AQ330"/>
    <mergeCell ref="C331:G331"/>
    <mergeCell ref="H331:L331"/>
    <mergeCell ref="M331:Q331"/>
    <mergeCell ref="R331:V331"/>
    <mergeCell ref="W331:AA331"/>
    <mergeCell ref="AB331:AE331"/>
    <mergeCell ref="AF331:AI331"/>
    <mergeCell ref="AJ331:AM331"/>
    <mergeCell ref="AG336:AH337"/>
    <mergeCell ref="AN331:AQ331"/>
    <mergeCell ref="F336:F337"/>
    <mergeCell ref="G336:H336"/>
    <mergeCell ref="I336:L337"/>
    <mergeCell ref="M336:N336"/>
    <mergeCell ref="O336:P337"/>
    <mergeCell ref="Q336:Q337"/>
    <mergeCell ref="R336:R337"/>
    <mergeCell ref="S336:W336"/>
    <mergeCell ref="G337:H337"/>
    <mergeCell ref="M337:N337"/>
    <mergeCell ref="S337:W337"/>
    <mergeCell ref="AB337:AF337"/>
    <mergeCell ref="Z336:Z337"/>
    <mergeCell ref="AA336:AA337"/>
    <mergeCell ref="AB336:AF336"/>
    <mergeCell ref="X336:Y337"/>
    <mergeCell ref="R338:U338"/>
    <mergeCell ref="W338:Z338"/>
    <mergeCell ref="AB338:AE338"/>
    <mergeCell ref="AI338:AK338"/>
    <mergeCell ref="Q341:Q342"/>
    <mergeCell ref="R341:R342"/>
    <mergeCell ref="S341:W341"/>
    <mergeCell ref="F341:F342"/>
    <mergeCell ref="G341:H341"/>
    <mergeCell ref="I341:L342"/>
    <mergeCell ref="M341:N341"/>
    <mergeCell ref="AG341:AH342"/>
    <mergeCell ref="G342:H342"/>
    <mergeCell ref="M342:N342"/>
    <mergeCell ref="S342:W342"/>
    <mergeCell ref="AB342:AF342"/>
    <mergeCell ref="X341:Y342"/>
    <mergeCell ref="Z341:Z342"/>
    <mergeCell ref="AA341:AA342"/>
    <mergeCell ref="AB341:AF341"/>
    <mergeCell ref="O341:P342"/>
    <mergeCell ref="R343:U343"/>
    <mergeCell ref="W343:Z343"/>
    <mergeCell ref="AB343:AE343"/>
    <mergeCell ref="AI343:AK343"/>
    <mergeCell ref="G352:H352"/>
    <mergeCell ref="M352:N352"/>
    <mergeCell ref="V352:X352"/>
    <mergeCell ref="AG353:AJ353"/>
    <mergeCell ref="AG355:AI355"/>
    <mergeCell ref="AG356:AI356"/>
    <mergeCell ref="AM356:AO356"/>
    <mergeCell ref="AG357:AI357"/>
    <mergeCell ref="AG359:AI359"/>
    <mergeCell ref="AM359:AO359"/>
    <mergeCell ref="M360:R360"/>
    <mergeCell ref="AG361:AI361"/>
    <mergeCell ref="AM361:AO361"/>
    <mergeCell ref="CA361:CC361"/>
    <mergeCell ref="F362:H362"/>
    <mergeCell ref="N362:S362"/>
    <mergeCell ref="X362:Z362"/>
    <mergeCell ref="AG362:AI362"/>
    <mergeCell ref="CA362:CC362"/>
    <mergeCell ref="AG363:AI363"/>
    <mergeCell ref="CA363:CC363"/>
    <mergeCell ref="AG364:AI364"/>
    <mergeCell ref="CA364:CC364"/>
    <mergeCell ref="AG365:AI365"/>
    <mergeCell ref="CA365:CC365"/>
    <mergeCell ref="AG366:AI366"/>
    <mergeCell ref="AG367:AH367"/>
    <mergeCell ref="AJ367:AK367"/>
    <mergeCell ref="AN367:AO367"/>
    <mergeCell ref="AQ367:AR367"/>
    <mergeCell ref="D369:AB369"/>
    <mergeCell ref="AC369:AF369"/>
    <mergeCell ref="AG369:AL369"/>
    <mergeCell ref="AC370:AF370"/>
    <mergeCell ref="AG370:AL370"/>
    <mergeCell ref="AC371:AF371"/>
    <mergeCell ref="AG371:AL371"/>
    <mergeCell ref="AC372:AF372"/>
    <mergeCell ref="AG372:AL372"/>
    <mergeCell ref="AC373:AF373"/>
    <mergeCell ref="AG373:AL373"/>
    <mergeCell ref="AC374:AF374"/>
    <mergeCell ref="AG374:AL374"/>
    <mergeCell ref="AC375:AF375"/>
    <mergeCell ref="AG375:AL375"/>
    <mergeCell ref="AC376:AF376"/>
    <mergeCell ref="AG376:AL376"/>
    <mergeCell ref="C379:J379"/>
    <mergeCell ref="K379:M379"/>
    <mergeCell ref="N379:P379"/>
    <mergeCell ref="Q379:T379"/>
    <mergeCell ref="U379:X379"/>
    <mergeCell ref="Y379:AC379"/>
    <mergeCell ref="AD379:AI379"/>
    <mergeCell ref="AJ379:AO379"/>
    <mergeCell ref="K380:M380"/>
    <mergeCell ref="N380:P380"/>
    <mergeCell ref="Q380:T380"/>
    <mergeCell ref="U380:X380"/>
    <mergeCell ref="Y380:AC380"/>
    <mergeCell ref="AD380:AI380"/>
    <mergeCell ref="AJ380:AO380"/>
    <mergeCell ref="K381:M381"/>
    <mergeCell ref="N381:P381"/>
    <mergeCell ref="Q381:T381"/>
    <mergeCell ref="U381:X381"/>
    <mergeCell ref="Y381:AC381"/>
    <mergeCell ref="AD381:AI381"/>
    <mergeCell ref="AJ381:AO381"/>
    <mergeCell ref="K382:M382"/>
    <mergeCell ref="N382:P382"/>
    <mergeCell ref="Q382:T382"/>
    <mergeCell ref="U382:X382"/>
    <mergeCell ref="Y382:AC382"/>
    <mergeCell ref="AD382:AI382"/>
    <mergeCell ref="AJ382:AO382"/>
    <mergeCell ref="K383:M383"/>
    <mergeCell ref="N383:P383"/>
    <mergeCell ref="Q383:T383"/>
    <mergeCell ref="U383:X383"/>
    <mergeCell ref="Y383:AC383"/>
    <mergeCell ref="AD383:AI383"/>
    <mergeCell ref="AJ383:AO383"/>
    <mergeCell ref="K384:M384"/>
    <mergeCell ref="N384:P384"/>
    <mergeCell ref="Q384:T384"/>
    <mergeCell ref="U384:X384"/>
    <mergeCell ref="Y384:AC384"/>
    <mergeCell ref="AD384:AI384"/>
    <mergeCell ref="AJ384:AO384"/>
    <mergeCell ref="K385:M385"/>
    <mergeCell ref="N385:P385"/>
    <mergeCell ref="Q385:T385"/>
    <mergeCell ref="U385:X385"/>
    <mergeCell ref="Y385:AC385"/>
    <mergeCell ref="AD385:AI385"/>
    <mergeCell ref="AJ385:AO385"/>
    <mergeCell ref="C386:J386"/>
    <mergeCell ref="Q386:T386"/>
    <mergeCell ref="Y386:AC386"/>
    <mergeCell ref="AD386:AI386"/>
    <mergeCell ref="AJ386:AO386"/>
    <mergeCell ref="L401:P401"/>
    <mergeCell ref="R401:X401"/>
    <mergeCell ref="Z401:AE401"/>
    <mergeCell ref="L402:P402"/>
    <mergeCell ref="R402:V402"/>
    <mergeCell ref="X402:AC402"/>
    <mergeCell ref="L403:P403"/>
    <mergeCell ref="R403:V403"/>
    <mergeCell ref="X403:AB403"/>
    <mergeCell ref="AD403:AI403"/>
    <mergeCell ref="M404:P404"/>
    <mergeCell ref="U404:V404"/>
    <mergeCell ref="X404:AB404"/>
    <mergeCell ref="AD404:AI404"/>
    <mergeCell ref="P405:T405"/>
    <mergeCell ref="V405:Y405"/>
    <mergeCell ref="AA405:AE405"/>
    <mergeCell ref="AB406:AF406"/>
    <mergeCell ref="M407:Q407"/>
    <mergeCell ref="M408:Q408"/>
    <mergeCell ref="S409:W409"/>
    <mergeCell ref="N412:R412"/>
    <mergeCell ref="N413:R413"/>
    <mergeCell ref="S414:W414"/>
    <mergeCell ref="Z417:AC417"/>
    <mergeCell ref="AJ417:AL417"/>
    <mergeCell ref="AU417:AW417"/>
    <mergeCell ref="AX417:AZ417"/>
    <mergeCell ref="BA417:BC417"/>
    <mergeCell ref="BD417:BF417"/>
    <mergeCell ref="BG417:BI417"/>
    <mergeCell ref="BJ417:BL417"/>
    <mergeCell ref="BM417:BO417"/>
    <mergeCell ref="BP417:BR417"/>
    <mergeCell ref="BS417:BU417"/>
    <mergeCell ref="BV417:BX417"/>
    <mergeCell ref="BY417:CA417"/>
    <mergeCell ref="CB417:CD417"/>
    <mergeCell ref="CE417:CG417"/>
    <mergeCell ref="CH417:CJ417"/>
    <mergeCell ref="AU418:AW418"/>
    <mergeCell ref="AX418:AZ418"/>
    <mergeCell ref="BA418:BC418"/>
    <mergeCell ref="BD418:BF418"/>
    <mergeCell ref="BG418:BI418"/>
    <mergeCell ref="BJ418:BL418"/>
    <mergeCell ref="BM418:BO418"/>
    <mergeCell ref="BP418:BR418"/>
    <mergeCell ref="BS418:BU418"/>
    <mergeCell ref="BV418:BX418"/>
    <mergeCell ref="BY418:CA418"/>
    <mergeCell ref="CB418:CD418"/>
    <mergeCell ref="CE418:CG418"/>
    <mergeCell ref="CH418:CJ418"/>
    <mergeCell ref="AU419:AW419"/>
    <mergeCell ref="AX419:AZ419"/>
    <mergeCell ref="BA419:BC419"/>
    <mergeCell ref="BD419:BF419"/>
    <mergeCell ref="BG419:BI419"/>
    <mergeCell ref="BJ419:BL419"/>
    <mergeCell ref="BM419:BO419"/>
    <mergeCell ref="BP419:BR419"/>
    <mergeCell ref="BS419:BU419"/>
    <mergeCell ref="BV419:BX419"/>
    <mergeCell ref="BY419:CA419"/>
    <mergeCell ref="CB419:CD419"/>
    <mergeCell ref="CE419:CG419"/>
    <mergeCell ref="CH419:CJ419"/>
    <mergeCell ref="AU420:AW420"/>
    <mergeCell ref="AX420:AZ420"/>
    <mergeCell ref="BA420:BC420"/>
    <mergeCell ref="BD420:BF420"/>
    <mergeCell ref="BG420:BI420"/>
    <mergeCell ref="BJ420:BL420"/>
    <mergeCell ref="BM420:BO420"/>
    <mergeCell ref="BP420:BR420"/>
    <mergeCell ref="BS420:BU420"/>
    <mergeCell ref="BV420:BX420"/>
    <mergeCell ref="BY420:CA420"/>
    <mergeCell ref="CB420:CD420"/>
    <mergeCell ref="CE420:CG420"/>
    <mergeCell ref="CH420:CJ420"/>
    <mergeCell ref="E421:G421"/>
    <mergeCell ref="J421:K421"/>
    <mergeCell ref="M421:N421"/>
    <mergeCell ref="Q421:S421"/>
    <mergeCell ref="V421:W421"/>
    <mergeCell ref="Y421:Z421"/>
    <mergeCell ref="AC421:AD421"/>
    <mergeCell ref="AF421:AI421"/>
    <mergeCell ref="AU422:AW422"/>
    <mergeCell ref="AX422:AZ422"/>
    <mergeCell ref="BA422:BC422"/>
    <mergeCell ref="BD422:BF422"/>
    <mergeCell ref="BG422:BI422"/>
    <mergeCell ref="BJ422:BL422"/>
    <mergeCell ref="BM422:BO422"/>
    <mergeCell ref="BP422:BR422"/>
    <mergeCell ref="BS422:BU422"/>
    <mergeCell ref="BV422:BX422"/>
    <mergeCell ref="BY422:CA422"/>
    <mergeCell ref="CB422:CD422"/>
    <mergeCell ref="CE422:CG422"/>
    <mergeCell ref="CH422:CJ422"/>
    <mergeCell ref="AU423:AW423"/>
    <mergeCell ref="AX423:AZ423"/>
    <mergeCell ref="BA423:BC423"/>
    <mergeCell ref="BD423:BF423"/>
    <mergeCell ref="BG423:BI423"/>
    <mergeCell ref="BJ423:BL423"/>
    <mergeCell ref="BM423:BO423"/>
    <mergeCell ref="BP423:BR423"/>
    <mergeCell ref="BS423:BU423"/>
    <mergeCell ref="BV423:BX423"/>
    <mergeCell ref="BY423:CA423"/>
    <mergeCell ref="CB423:CD423"/>
    <mergeCell ref="CE423:CG423"/>
    <mergeCell ref="CH423:CJ423"/>
    <mergeCell ref="AU424:AW424"/>
    <mergeCell ref="AX424:AZ424"/>
    <mergeCell ref="BA424:BC424"/>
    <mergeCell ref="BD424:BF424"/>
    <mergeCell ref="BG424:BI424"/>
    <mergeCell ref="BJ424:BL424"/>
    <mergeCell ref="BM424:BO424"/>
    <mergeCell ref="BP424:BR424"/>
    <mergeCell ref="BS424:BU424"/>
    <mergeCell ref="BV424:BX424"/>
    <mergeCell ref="BY424:CA424"/>
    <mergeCell ref="CB424:CD424"/>
    <mergeCell ref="CE424:CG424"/>
    <mergeCell ref="CH424:CJ424"/>
    <mergeCell ref="AU425:AW425"/>
    <mergeCell ref="AX425:AZ425"/>
    <mergeCell ref="BA425:BC425"/>
    <mergeCell ref="BD425:BF425"/>
    <mergeCell ref="BG425:BI425"/>
    <mergeCell ref="BJ425:BL425"/>
    <mergeCell ref="BM425:BO425"/>
    <mergeCell ref="BP425:BR425"/>
    <mergeCell ref="BS425:BU425"/>
    <mergeCell ref="BV425:BX425"/>
    <mergeCell ref="BY425:CA425"/>
    <mergeCell ref="CB425:CD425"/>
    <mergeCell ref="CE425:CG425"/>
    <mergeCell ref="CH425:CJ425"/>
    <mergeCell ref="AU427:AW427"/>
    <mergeCell ref="AX427:AZ427"/>
    <mergeCell ref="BA427:BC427"/>
    <mergeCell ref="BD427:BF427"/>
    <mergeCell ref="BG427:BI427"/>
    <mergeCell ref="BJ427:BL427"/>
    <mergeCell ref="BM427:BO427"/>
    <mergeCell ref="BP427:BR427"/>
    <mergeCell ref="BS427:BU427"/>
    <mergeCell ref="BV427:BX427"/>
    <mergeCell ref="BY427:CA427"/>
    <mergeCell ref="CB427:CD427"/>
    <mergeCell ref="CE427:CG427"/>
    <mergeCell ref="CH427:CJ427"/>
    <mergeCell ref="S428:V428"/>
    <mergeCell ref="AU428:AW428"/>
    <mergeCell ref="AX428:AZ428"/>
    <mergeCell ref="BA428:BC428"/>
    <mergeCell ref="BD428:BF428"/>
    <mergeCell ref="BG428:BI428"/>
    <mergeCell ref="BJ428:BL428"/>
    <mergeCell ref="BM428:BO428"/>
    <mergeCell ref="BP428:BR428"/>
    <mergeCell ref="BS428:BU428"/>
    <mergeCell ref="BV428:BX428"/>
    <mergeCell ref="BY428:CA428"/>
    <mergeCell ref="CB428:CD428"/>
    <mergeCell ref="CE428:CG428"/>
    <mergeCell ref="CH428:CJ428"/>
    <mergeCell ref="H429:K429"/>
    <mergeCell ref="AU429:AW429"/>
    <mergeCell ref="AX429:AZ429"/>
    <mergeCell ref="BA429:BC429"/>
    <mergeCell ref="BD429:BF429"/>
    <mergeCell ref="BG429:BI429"/>
    <mergeCell ref="BJ429:BL429"/>
    <mergeCell ref="BM429:BO429"/>
    <mergeCell ref="BP429:BR429"/>
    <mergeCell ref="BS429:BU429"/>
    <mergeCell ref="BV429:BX429"/>
    <mergeCell ref="BY429:CA429"/>
    <mergeCell ref="CB429:CD429"/>
    <mergeCell ref="CE429:CG429"/>
    <mergeCell ref="CH429:CJ429"/>
    <mergeCell ref="S430:V430"/>
    <mergeCell ref="AU430:AW430"/>
    <mergeCell ref="AX430:AZ430"/>
    <mergeCell ref="BA430:BC430"/>
    <mergeCell ref="BD430:BF430"/>
    <mergeCell ref="BG430:BI430"/>
    <mergeCell ref="BJ430:BL430"/>
    <mergeCell ref="BM430:BO430"/>
    <mergeCell ref="BP430:BR430"/>
    <mergeCell ref="BS430:BU430"/>
    <mergeCell ref="BV430:BX430"/>
    <mergeCell ref="BY430:CA430"/>
    <mergeCell ref="CB430:CD430"/>
    <mergeCell ref="CE430:CG430"/>
    <mergeCell ref="CH430:CJ430"/>
    <mergeCell ref="E431:I432"/>
    <mergeCell ref="K431:L431"/>
    <mergeCell ref="P431:P432"/>
    <mergeCell ref="T431:V431"/>
    <mergeCell ref="AA431:AB432"/>
    <mergeCell ref="AC431:AE432"/>
    <mergeCell ref="AF431:AG432"/>
    <mergeCell ref="J432:K432"/>
    <mergeCell ref="R432:S432"/>
    <mergeCell ref="U432:W432"/>
    <mergeCell ref="Y432:Z432"/>
    <mergeCell ref="AU432:AW432"/>
    <mergeCell ref="AX432:AZ432"/>
    <mergeCell ref="BA432:BC432"/>
    <mergeCell ref="BD432:BF432"/>
    <mergeCell ref="BG432:BI432"/>
    <mergeCell ref="BJ432:BL432"/>
    <mergeCell ref="BM432:BO432"/>
    <mergeCell ref="BP432:BR432"/>
    <mergeCell ref="BS432:BU432"/>
    <mergeCell ref="BV432:BX432"/>
    <mergeCell ref="BY432:CA432"/>
    <mergeCell ref="CB432:CD432"/>
    <mergeCell ref="CE432:CG432"/>
    <mergeCell ref="CH432:CJ432"/>
    <mergeCell ref="O433:R433"/>
    <mergeCell ref="AU433:AW433"/>
    <mergeCell ref="AX433:AZ433"/>
    <mergeCell ref="BA433:BC433"/>
    <mergeCell ref="BD433:BF433"/>
    <mergeCell ref="BG433:BI433"/>
    <mergeCell ref="BJ433:BL433"/>
    <mergeCell ref="BM433:BO433"/>
    <mergeCell ref="BP433:BR433"/>
    <mergeCell ref="BS433:BU433"/>
    <mergeCell ref="BV433:BX433"/>
    <mergeCell ref="BY433:CA433"/>
    <mergeCell ref="CB433:CD433"/>
    <mergeCell ref="CE433:CG433"/>
    <mergeCell ref="CH433:CJ433"/>
    <mergeCell ref="F434:G434"/>
    <mergeCell ref="J434:J435"/>
    <mergeCell ref="K434:O435"/>
    <mergeCell ref="Q434:R434"/>
    <mergeCell ref="U434:U435"/>
    <mergeCell ref="X434:Z434"/>
    <mergeCell ref="AE434:AE435"/>
    <mergeCell ref="BA434:BC434"/>
    <mergeCell ref="BD434:BF434"/>
    <mergeCell ref="BG434:BI434"/>
    <mergeCell ref="BJ434:BL434"/>
    <mergeCell ref="BM434:BO434"/>
    <mergeCell ref="BP434:BR434"/>
    <mergeCell ref="BS434:BU434"/>
    <mergeCell ref="BV434:BX434"/>
    <mergeCell ref="BY434:CA434"/>
    <mergeCell ref="CB434:CD434"/>
    <mergeCell ref="CE434:CG434"/>
    <mergeCell ref="CH434:CJ434"/>
    <mergeCell ref="E435:F435"/>
    <mergeCell ref="P435:Q435"/>
    <mergeCell ref="V435:W435"/>
    <mergeCell ref="Y435:AA435"/>
    <mergeCell ref="AC435:AD435"/>
    <mergeCell ref="AU435:AW435"/>
    <mergeCell ref="AX435:AZ435"/>
    <mergeCell ref="BA435:BC435"/>
    <mergeCell ref="AF434:AH435"/>
    <mergeCell ref="AI434:AJ435"/>
    <mergeCell ref="AU434:AW434"/>
    <mergeCell ref="AX434:AZ434"/>
    <mergeCell ref="BD435:BF435"/>
    <mergeCell ref="BG435:BI435"/>
    <mergeCell ref="BJ435:BL435"/>
    <mergeCell ref="BM435:BO435"/>
    <mergeCell ref="CB435:CD435"/>
    <mergeCell ref="CE435:CG435"/>
    <mergeCell ref="CH435:CJ435"/>
    <mergeCell ref="O436:Q436"/>
    <mergeCell ref="S436:T436"/>
    <mergeCell ref="AF436:AI436"/>
    <mergeCell ref="BP435:BR435"/>
    <mergeCell ref="BS435:BU435"/>
    <mergeCell ref="BV435:BX435"/>
    <mergeCell ref="BY435:CA435"/>
    <mergeCell ref="F437:G437"/>
    <mergeCell ref="J437:J438"/>
    <mergeCell ref="K437:O438"/>
    <mergeCell ref="Q437:R437"/>
    <mergeCell ref="AI437:AJ438"/>
    <mergeCell ref="E438:F438"/>
    <mergeCell ref="P438:Q438"/>
    <mergeCell ref="V438:W438"/>
    <mergeCell ref="Y438:AA438"/>
    <mergeCell ref="AC438:AD438"/>
    <mergeCell ref="U437:U438"/>
    <mergeCell ref="X437:Z437"/>
    <mergeCell ref="AE437:AE438"/>
    <mergeCell ref="AF437:AH438"/>
    <mergeCell ref="N439:Q439"/>
    <mergeCell ref="AA439:AD439"/>
    <mergeCell ref="J440:L440"/>
    <mergeCell ref="L441:O441"/>
    <mergeCell ref="C444:G446"/>
    <mergeCell ref="H444:AA444"/>
    <mergeCell ref="AB444:AI445"/>
    <mergeCell ref="AJ444:AQ444"/>
    <mergeCell ref="H445:Q445"/>
    <mergeCell ref="R445:AA445"/>
    <mergeCell ref="AJ445:AQ445"/>
    <mergeCell ref="H446:L446"/>
    <mergeCell ref="M446:Q446"/>
    <mergeCell ref="R446:V446"/>
    <mergeCell ref="W446:AA446"/>
    <mergeCell ref="AB446:AE446"/>
    <mergeCell ref="AF446:AI446"/>
    <mergeCell ref="AJ446:AM446"/>
    <mergeCell ref="AN446:AQ446"/>
    <mergeCell ref="C447:G447"/>
    <mergeCell ref="H447:L447"/>
    <mergeCell ref="M447:Q447"/>
    <mergeCell ref="R447:V447"/>
    <mergeCell ref="W447:AA447"/>
    <mergeCell ref="AB447:AE447"/>
    <mergeCell ref="AF447:AI447"/>
    <mergeCell ref="AJ447:AM447"/>
    <mergeCell ref="AN447:AQ447"/>
    <mergeCell ref="C448:G448"/>
    <mergeCell ref="H448:L448"/>
    <mergeCell ref="M448:Q448"/>
    <mergeCell ref="R448:V448"/>
    <mergeCell ref="W448:AA448"/>
    <mergeCell ref="AB448:AE448"/>
    <mergeCell ref="AF448:AI448"/>
    <mergeCell ref="AJ448:AM448"/>
    <mergeCell ref="AG453:AH454"/>
    <mergeCell ref="AN448:AQ448"/>
    <mergeCell ref="F453:F454"/>
    <mergeCell ref="G453:H453"/>
    <mergeCell ref="I453:L454"/>
    <mergeCell ref="M453:N453"/>
    <mergeCell ref="O453:P454"/>
    <mergeCell ref="Q453:Q454"/>
    <mergeCell ref="R453:R454"/>
    <mergeCell ref="S453:W453"/>
    <mergeCell ref="G454:H454"/>
    <mergeCell ref="M454:N454"/>
    <mergeCell ref="S454:W454"/>
    <mergeCell ref="AB454:AF454"/>
    <mergeCell ref="Z453:Z454"/>
    <mergeCell ref="AA453:AA454"/>
    <mergeCell ref="AB453:AF453"/>
    <mergeCell ref="X453:Y454"/>
    <mergeCell ref="R455:U455"/>
    <mergeCell ref="W455:Z455"/>
    <mergeCell ref="AB455:AE455"/>
    <mergeCell ref="AI455:AK455"/>
    <mergeCell ref="Q458:Q459"/>
    <mergeCell ref="R458:R459"/>
    <mergeCell ref="S458:W458"/>
    <mergeCell ref="F458:F459"/>
    <mergeCell ref="G458:H458"/>
    <mergeCell ref="I458:L459"/>
    <mergeCell ref="M458:N458"/>
    <mergeCell ref="AG458:AH459"/>
    <mergeCell ref="G459:H459"/>
    <mergeCell ref="M459:N459"/>
    <mergeCell ref="S459:W459"/>
    <mergeCell ref="AB459:AF459"/>
    <mergeCell ref="X458:Y459"/>
    <mergeCell ref="Z458:Z459"/>
    <mergeCell ref="AA458:AA459"/>
    <mergeCell ref="AB458:AF458"/>
    <mergeCell ref="O458:P459"/>
    <mergeCell ref="R460:U460"/>
    <mergeCell ref="W460:Z460"/>
    <mergeCell ref="AB460:AE460"/>
    <mergeCell ref="AI460:AK460"/>
    <mergeCell ref="G469:H469"/>
    <mergeCell ref="M469:N469"/>
    <mergeCell ref="V469:X469"/>
    <mergeCell ref="AG470:AJ470"/>
    <mergeCell ref="AG472:AI472"/>
    <mergeCell ref="AG473:AI473"/>
    <mergeCell ref="AM473:AO473"/>
    <mergeCell ref="AG474:AI474"/>
    <mergeCell ref="AG476:AI476"/>
    <mergeCell ref="AM476:AO476"/>
    <mergeCell ref="M477:R477"/>
    <mergeCell ref="AG478:AI478"/>
    <mergeCell ref="AM478:AO478"/>
    <mergeCell ref="CA478:CC478"/>
    <mergeCell ref="F479:H479"/>
    <mergeCell ref="N479:S479"/>
    <mergeCell ref="X479:Z479"/>
    <mergeCell ref="AG479:AI479"/>
    <mergeCell ref="CA479:CC479"/>
    <mergeCell ref="AG480:AI480"/>
    <mergeCell ref="CA480:CC480"/>
    <mergeCell ref="AG481:AI481"/>
    <mergeCell ref="CA481:CC481"/>
    <mergeCell ref="AG482:AI482"/>
    <mergeCell ref="CA482:CC482"/>
    <mergeCell ref="AG483:AI483"/>
    <mergeCell ref="AG484:AH484"/>
    <mergeCell ref="AJ484:AK484"/>
    <mergeCell ref="AN484:AO484"/>
    <mergeCell ref="AQ484:AR484"/>
    <mergeCell ref="D486:AB486"/>
    <mergeCell ref="AC486:AF486"/>
    <mergeCell ref="AG486:AL486"/>
    <mergeCell ref="AC487:AF487"/>
    <mergeCell ref="AG487:AL487"/>
    <mergeCell ref="AC488:AF488"/>
    <mergeCell ref="AG488:AL488"/>
    <mergeCell ref="AC489:AF489"/>
    <mergeCell ref="AG489:AL489"/>
    <mergeCell ref="AC490:AF490"/>
    <mergeCell ref="AG490:AL490"/>
    <mergeCell ref="AC491:AF491"/>
    <mergeCell ref="AG491:AL491"/>
    <mergeCell ref="AC492:AF492"/>
    <mergeCell ref="AG492:AL492"/>
    <mergeCell ref="AC493:AF493"/>
    <mergeCell ref="AG493:AL493"/>
    <mergeCell ref="C496:J496"/>
    <mergeCell ref="K496:M496"/>
    <mergeCell ref="N496:P496"/>
    <mergeCell ref="Q496:T496"/>
    <mergeCell ref="U496:X496"/>
    <mergeCell ref="Y496:AC496"/>
    <mergeCell ref="AD496:AI496"/>
    <mergeCell ref="AJ496:AO496"/>
    <mergeCell ref="K497:M497"/>
    <mergeCell ref="N497:P497"/>
    <mergeCell ref="Q497:T497"/>
    <mergeCell ref="U497:X497"/>
    <mergeCell ref="Y497:AC497"/>
    <mergeCell ref="AD497:AI497"/>
    <mergeCell ref="AJ497:AO497"/>
    <mergeCell ref="K498:M498"/>
    <mergeCell ref="N498:P498"/>
    <mergeCell ref="Q498:T498"/>
    <mergeCell ref="U498:X498"/>
    <mergeCell ref="Y498:AC498"/>
    <mergeCell ref="AD498:AI498"/>
    <mergeCell ref="AJ498:AO498"/>
    <mergeCell ref="K499:M499"/>
    <mergeCell ref="N499:P499"/>
    <mergeCell ref="Q499:T499"/>
    <mergeCell ref="U499:X499"/>
    <mergeCell ref="Y499:AC499"/>
    <mergeCell ref="AD499:AI499"/>
    <mergeCell ref="AJ499:AO499"/>
    <mergeCell ref="K500:M500"/>
    <mergeCell ref="N500:P500"/>
    <mergeCell ref="Q500:T500"/>
    <mergeCell ref="U500:X500"/>
    <mergeCell ref="Y500:AC500"/>
    <mergeCell ref="AD500:AI500"/>
    <mergeCell ref="AJ500:AO500"/>
    <mergeCell ref="K501:M501"/>
    <mergeCell ref="N501:P501"/>
    <mergeCell ref="Q501:T501"/>
    <mergeCell ref="U501:X501"/>
    <mergeCell ref="Y501:AC501"/>
    <mergeCell ref="AD501:AI501"/>
    <mergeCell ref="AJ501:AO501"/>
    <mergeCell ref="K502:M502"/>
    <mergeCell ref="N502:P502"/>
    <mergeCell ref="Q502:T502"/>
    <mergeCell ref="U502:X502"/>
    <mergeCell ref="Y502:AC502"/>
    <mergeCell ref="AD502:AI502"/>
    <mergeCell ref="AJ502:AO502"/>
    <mergeCell ref="C503:J503"/>
    <mergeCell ref="Q503:T503"/>
    <mergeCell ref="Y503:AC503"/>
    <mergeCell ref="AD503:AI503"/>
    <mergeCell ref="AJ503:AO503"/>
    <mergeCell ref="L518:P518"/>
    <mergeCell ref="R518:X518"/>
    <mergeCell ref="Z518:AE518"/>
    <mergeCell ref="L519:P519"/>
    <mergeCell ref="R519:V519"/>
    <mergeCell ref="X519:AC519"/>
    <mergeCell ref="L520:P520"/>
    <mergeCell ref="R520:V520"/>
    <mergeCell ref="X520:AB520"/>
    <mergeCell ref="AD520:AI520"/>
    <mergeCell ref="M521:P521"/>
    <mergeCell ref="U521:V521"/>
    <mergeCell ref="X521:AB521"/>
    <mergeCell ref="AD521:AI521"/>
    <mergeCell ref="P522:T522"/>
    <mergeCell ref="V522:Y522"/>
    <mergeCell ref="AA522:AE522"/>
    <mergeCell ref="AB523:AF523"/>
    <mergeCell ref="M524:Q524"/>
    <mergeCell ref="M525:Q525"/>
    <mergeCell ref="S526:W526"/>
    <mergeCell ref="N529:R529"/>
    <mergeCell ref="N530:R530"/>
    <mergeCell ref="S531:W531"/>
    <mergeCell ref="Z534:AC534"/>
    <mergeCell ref="AJ534:AL534"/>
    <mergeCell ref="AU534:AW534"/>
    <mergeCell ref="AX534:AZ534"/>
    <mergeCell ref="BA534:BC534"/>
    <mergeCell ref="BD534:BF534"/>
    <mergeCell ref="BG534:BI534"/>
    <mergeCell ref="BJ534:BL534"/>
    <mergeCell ref="BM534:BO534"/>
    <mergeCell ref="BP534:BR534"/>
    <mergeCell ref="BS534:BU534"/>
    <mergeCell ref="BV534:BX534"/>
    <mergeCell ref="BY534:CA534"/>
    <mergeCell ref="CB534:CD534"/>
    <mergeCell ref="CE534:CG534"/>
    <mergeCell ref="CH534:CJ534"/>
    <mergeCell ref="AU535:AW535"/>
    <mergeCell ref="AX535:AZ535"/>
    <mergeCell ref="BA535:BC535"/>
    <mergeCell ref="BD535:BF535"/>
    <mergeCell ref="BG535:BI535"/>
    <mergeCell ref="BJ535:BL535"/>
    <mergeCell ref="BM535:BO535"/>
    <mergeCell ref="BP535:BR535"/>
    <mergeCell ref="BS535:BU535"/>
    <mergeCell ref="BV535:BX535"/>
    <mergeCell ref="BY535:CA535"/>
    <mergeCell ref="CB535:CD535"/>
    <mergeCell ref="CE535:CG535"/>
    <mergeCell ref="CH535:CJ535"/>
    <mergeCell ref="AU536:AW536"/>
    <mergeCell ref="AX536:AZ536"/>
    <mergeCell ref="BA536:BC536"/>
    <mergeCell ref="BD536:BF536"/>
    <mergeCell ref="BG536:BI536"/>
    <mergeCell ref="BJ536:BL536"/>
    <mergeCell ref="BM536:BO536"/>
    <mergeCell ref="BP536:BR536"/>
    <mergeCell ref="BS536:BU536"/>
    <mergeCell ref="BV536:BX536"/>
    <mergeCell ref="BY536:CA536"/>
    <mergeCell ref="CB536:CD536"/>
    <mergeCell ref="CE536:CG536"/>
    <mergeCell ref="CH536:CJ536"/>
    <mergeCell ref="AU537:AW537"/>
    <mergeCell ref="AX537:AZ537"/>
    <mergeCell ref="BA537:BC537"/>
    <mergeCell ref="BD537:BF537"/>
    <mergeCell ref="BG537:BI537"/>
    <mergeCell ref="BJ537:BL537"/>
    <mergeCell ref="BM537:BO537"/>
    <mergeCell ref="BP537:BR537"/>
    <mergeCell ref="BS537:BU537"/>
    <mergeCell ref="BV537:BX537"/>
    <mergeCell ref="BY537:CA537"/>
    <mergeCell ref="CB537:CD537"/>
    <mergeCell ref="CE537:CG537"/>
    <mergeCell ref="CH537:CJ537"/>
    <mergeCell ref="E538:G538"/>
    <mergeCell ref="J538:K538"/>
    <mergeCell ref="M538:N538"/>
    <mergeCell ref="Q538:S538"/>
    <mergeCell ref="V538:W538"/>
    <mergeCell ref="Y538:Z538"/>
    <mergeCell ref="AC538:AD538"/>
    <mergeCell ref="AF538:AI538"/>
    <mergeCell ref="AU539:AW539"/>
    <mergeCell ref="AX539:AZ539"/>
    <mergeCell ref="BA539:BC539"/>
    <mergeCell ref="BD539:BF539"/>
    <mergeCell ref="BG539:BI539"/>
    <mergeCell ref="BJ539:BL539"/>
    <mergeCell ref="BM539:BO539"/>
    <mergeCell ref="BP539:BR539"/>
    <mergeCell ref="BS539:BU539"/>
    <mergeCell ref="BV539:BX539"/>
    <mergeCell ref="BY539:CA539"/>
    <mergeCell ref="CB539:CD539"/>
    <mergeCell ref="CE539:CG539"/>
    <mergeCell ref="CH539:CJ539"/>
    <mergeCell ref="AU540:AW540"/>
    <mergeCell ref="AX540:AZ540"/>
    <mergeCell ref="BA540:BC540"/>
    <mergeCell ref="BD540:BF540"/>
    <mergeCell ref="BG540:BI540"/>
    <mergeCell ref="BJ540:BL540"/>
    <mergeCell ref="BM540:BO540"/>
    <mergeCell ref="BP540:BR540"/>
    <mergeCell ref="BS540:BU540"/>
    <mergeCell ref="BV540:BX540"/>
    <mergeCell ref="BY540:CA540"/>
    <mergeCell ref="CB540:CD540"/>
    <mergeCell ref="CE540:CG540"/>
    <mergeCell ref="CH540:CJ540"/>
    <mergeCell ref="AU541:AW541"/>
    <mergeCell ref="AX541:AZ541"/>
    <mergeCell ref="BA541:BC541"/>
    <mergeCell ref="BD541:BF541"/>
    <mergeCell ref="BG541:BI541"/>
    <mergeCell ref="BJ541:BL541"/>
    <mergeCell ref="BM541:BO541"/>
    <mergeCell ref="BP541:BR541"/>
    <mergeCell ref="BS541:BU541"/>
    <mergeCell ref="BV541:BX541"/>
    <mergeCell ref="BY541:CA541"/>
    <mergeCell ref="CB541:CD541"/>
    <mergeCell ref="CE541:CG541"/>
    <mergeCell ref="CH541:CJ541"/>
    <mergeCell ref="AU542:AW542"/>
    <mergeCell ref="AX542:AZ542"/>
    <mergeCell ref="BA542:BC542"/>
    <mergeCell ref="BD542:BF542"/>
    <mergeCell ref="BG542:BI542"/>
    <mergeCell ref="BJ542:BL542"/>
    <mergeCell ref="BM542:BO542"/>
    <mergeCell ref="BP542:BR542"/>
    <mergeCell ref="BS542:BU542"/>
    <mergeCell ref="BV542:BX542"/>
    <mergeCell ref="BY542:CA542"/>
    <mergeCell ref="CB542:CD542"/>
    <mergeCell ref="CE542:CG542"/>
    <mergeCell ref="CH542:CJ542"/>
    <mergeCell ref="AU544:AW544"/>
    <mergeCell ref="AX544:AZ544"/>
    <mergeCell ref="BA544:BC544"/>
    <mergeCell ref="BD544:BF544"/>
    <mergeCell ref="BG544:BI544"/>
    <mergeCell ref="BJ544:BL544"/>
    <mergeCell ref="BM544:BO544"/>
    <mergeCell ref="BP544:BR544"/>
    <mergeCell ref="BS544:BU544"/>
    <mergeCell ref="BV544:BX544"/>
    <mergeCell ref="BY544:CA544"/>
    <mergeCell ref="CB544:CD544"/>
    <mergeCell ref="CE544:CG544"/>
    <mergeCell ref="CH544:CJ544"/>
    <mergeCell ref="S545:V545"/>
    <mergeCell ref="AU545:AW545"/>
    <mergeCell ref="AX545:AZ545"/>
    <mergeCell ref="BA545:BC545"/>
    <mergeCell ref="BD545:BF545"/>
    <mergeCell ref="BG545:BI545"/>
    <mergeCell ref="BJ545:BL545"/>
    <mergeCell ref="BM545:BO545"/>
    <mergeCell ref="BP545:BR545"/>
    <mergeCell ref="BS545:BU545"/>
    <mergeCell ref="BV545:BX545"/>
    <mergeCell ref="BY545:CA545"/>
    <mergeCell ref="CB545:CD545"/>
    <mergeCell ref="CE545:CG545"/>
    <mergeCell ref="CH545:CJ545"/>
    <mergeCell ref="H546:K546"/>
    <mergeCell ref="AU546:AW546"/>
    <mergeCell ref="AX546:AZ546"/>
    <mergeCell ref="BA546:BC546"/>
    <mergeCell ref="BD546:BF546"/>
    <mergeCell ref="BG546:BI546"/>
    <mergeCell ref="BJ546:BL546"/>
    <mergeCell ref="BM546:BO546"/>
    <mergeCell ref="BP546:BR546"/>
    <mergeCell ref="BS546:BU546"/>
    <mergeCell ref="BV546:BX546"/>
    <mergeCell ref="BY546:CA546"/>
    <mergeCell ref="CB546:CD546"/>
    <mergeCell ref="CE546:CG546"/>
    <mergeCell ref="CH546:CJ546"/>
    <mergeCell ref="S547:V547"/>
    <mergeCell ref="AU547:AW547"/>
    <mergeCell ref="AX547:AZ547"/>
    <mergeCell ref="BA547:BC547"/>
    <mergeCell ref="BD547:BF547"/>
    <mergeCell ref="BG547:BI547"/>
    <mergeCell ref="BJ547:BL547"/>
    <mergeCell ref="BM547:BO547"/>
    <mergeCell ref="BP547:BR547"/>
    <mergeCell ref="BS547:BU547"/>
    <mergeCell ref="BV547:BX547"/>
    <mergeCell ref="BY547:CA547"/>
    <mergeCell ref="CB547:CD547"/>
    <mergeCell ref="CE547:CG547"/>
    <mergeCell ref="CH547:CJ547"/>
    <mergeCell ref="E548:I549"/>
    <mergeCell ref="K548:L548"/>
    <mergeCell ref="P548:P549"/>
    <mergeCell ref="T548:V548"/>
    <mergeCell ref="AA548:AB549"/>
    <mergeCell ref="AC548:AE549"/>
    <mergeCell ref="AF548:AG549"/>
    <mergeCell ref="J549:K549"/>
    <mergeCell ref="R549:S549"/>
    <mergeCell ref="U549:W549"/>
    <mergeCell ref="Y549:Z549"/>
    <mergeCell ref="AU549:AW549"/>
    <mergeCell ref="AX549:AZ549"/>
    <mergeCell ref="BA549:BC549"/>
    <mergeCell ref="BD549:BF549"/>
    <mergeCell ref="BG549:BI549"/>
    <mergeCell ref="BJ549:BL549"/>
    <mergeCell ref="BM549:BO549"/>
    <mergeCell ref="BP549:BR549"/>
    <mergeCell ref="BS549:BU549"/>
    <mergeCell ref="BV549:BX549"/>
    <mergeCell ref="BY549:CA549"/>
    <mergeCell ref="CB549:CD549"/>
    <mergeCell ref="CE549:CG549"/>
    <mergeCell ref="CH549:CJ549"/>
    <mergeCell ref="O550:R550"/>
    <mergeCell ref="AU550:AW550"/>
    <mergeCell ref="AX550:AZ550"/>
    <mergeCell ref="BA550:BC550"/>
    <mergeCell ref="BD550:BF550"/>
    <mergeCell ref="BG550:BI550"/>
    <mergeCell ref="BJ550:BL550"/>
    <mergeCell ref="BM550:BO550"/>
    <mergeCell ref="BP550:BR550"/>
    <mergeCell ref="BS550:BU550"/>
    <mergeCell ref="BV550:BX550"/>
    <mergeCell ref="BY550:CA550"/>
    <mergeCell ref="CB550:CD550"/>
    <mergeCell ref="CE550:CG550"/>
    <mergeCell ref="CH550:CJ550"/>
    <mergeCell ref="F551:G551"/>
    <mergeCell ref="J551:J552"/>
    <mergeCell ref="K551:O552"/>
    <mergeCell ref="Q551:R551"/>
    <mergeCell ref="U551:U552"/>
    <mergeCell ref="X551:Z551"/>
    <mergeCell ref="AE551:AE552"/>
    <mergeCell ref="BA551:BC551"/>
    <mergeCell ref="BD551:BF551"/>
    <mergeCell ref="BG551:BI551"/>
    <mergeCell ref="BJ551:BL551"/>
    <mergeCell ref="BM551:BO551"/>
    <mergeCell ref="BP551:BR551"/>
    <mergeCell ref="BS551:BU551"/>
    <mergeCell ref="BV551:BX551"/>
    <mergeCell ref="BY551:CA551"/>
    <mergeCell ref="CB551:CD551"/>
    <mergeCell ref="CE551:CG551"/>
    <mergeCell ref="CH551:CJ551"/>
    <mergeCell ref="E552:F552"/>
    <mergeCell ref="P552:Q552"/>
    <mergeCell ref="V552:W552"/>
    <mergeCell ref="Y552:AA552"/>
    <mergeCell ref="AC552:AD552"/>
    <mergeCell ref="AU552:AW552"/>
    <mergeCell ref="AX552:AZ552"/>
    <mergeCell ref="BA552:BC552"/>
    <mergeCell ref="AF551:AH552"/>
    <mergeCell ref="AI551:AJ552"/>
    <mergeCell ref="AU551:AW551"/>
    <mergeCell ref="AX551:AZ551"/>
    <mergeCell ref="BD552:BF552"/>
    <mergeCell ref="BG552:BI552"/>
    <mergeCell ref="BJ552:BL552"/>
    <mergeCell ref="BM552:BO552"/>
    <mergeCell ref="CB552:CD552"/>
    <mergeCell ref="CE552:CG552"/>
    <mergeCell ref="CH552:CJ552"/>
    <mergeCell ref="O553:Q553"/>
    <mergeCell ref="S553:T553"/>
    <mergeCell ref="AF553:AI553"/>
    <mergeCell ref="BP552:BR552"/>
    <mergeCell ref="BS552:BU552"/>
    <mergeCell ref="BV552:BX552"/>
    <mergeCell ref="BY552:CA552"/>
    <mergeCell ref="F554:G554"/>
    <mergeCell ref="J554:J555"/>
    <mergeCell ref="K554:O555"/>
    <mergeCell ref="Q554:R554"/>
    <mergeCell ref="AI554:AJ555"/>
    <mergeCell ref="E555:F555"/>
    <mergeCell ref="P555:Q555"/>
    <mergeCell ref="V555:W555"/>
    <mergeCell ref="Y555:AA555"/>
    <mergeCell ref="AC555:AD555"/>
    <mergeCell ref="U554:U555"/>
    <mergeCell ref="X554:Z554"/>
    <mergeCell ref="AE554:AE555"/>
    <mergeCell ref="AF554:AH555"/>
    <mergeCell ref="N556:Q556"/>
    <mergeCell ref="AA556:AD556"/>
    <mergeCell ref="J557:L557"/>
    <mergeCell ref="L558:O558"/>
    <mergeCell ref="C561:G563"/>
    <mergeCell ref="H561:AA561"/>
    <mergeCell ref="AB561:AI562"/>
    <mergeCell ref="AJ561:AQ561"/>
    <mergeCell ref="H562:Q562"/>
    <mergeCell ref="R562:AA562"/>
    <mergeCell ref="AJ562:AQ562"/>
    <mergeCell ref="H563:L563"/>
    <mergeCell ref="M563:Q563"/>
    <mergeCell ref="R563:V563"/>
    <mergeCell ref="W563:AA563"/>
    <mergeCell ref="AB563:AE563"/>
    <mergeCell ref="AF563:AI563"/>
    <mergeCell ref="AJ563:AM563"/>
    <mergeCell ref="AN563:AQ563"/>
    <mergeCell ref="C564:G564"/>
    <mergeCell ref="H564:L564"/>
    <mergeCell ref="M564:Q564"/>
    <mergeCell ref="R564:V564"/>
    <mergeCell ref="W564:AA564"/>
    <mergeCell ref="AB564:AE564"/>
    <mergeCell ref="AF564:AI564"/>
    <mergeCell ref="AJ564:AM564"/>
    <mergeCell ref="AN564:AQ564"/>
    <mergeCell ref="C565:G565"/>
    <mergeCell ref="H565:L565"/>
    <mergeCell ref="M565:Q565"/>
    <mergeCell ref="R565:V565"/>
    <mergeCell ref="W565:AA565"/>
    <mergeCell ref="AB565:AE565"/>
    <mergeCell ref="AF565:AI565"/>
    <mergeCell ref="AJ565:AM565"/>
    <mergeCell ref="AG570:AH571"/>
    <mergeCell ref="AN565:AQ565"/>
    <mergeCell ref="F570:F571"/>
    <mergeCell ref="G570:H570"/>
    <mergeCell ref="I570:L571"/>
    <mergeCell ref="M570:N570"/>
    <mergeCell ref="O570:P571"/>
    <mergeCell ref="Q570:Q571"/>
    <mergeCell ref="R570:R571"/>
    <mergeCell ref="S570:W570"/>
    <mergeCell ref="G571:H571"/>
    <mergeCell ref="M571:N571"/>
    <mergeCell ref="S571:W571"/>
    <mergeCell ref="AB571:AF571"/>
    <mergeCell ref="Z570:Z571"/>
    <mergeCell ref="AA570:AA571"/>
    <mergeCell ref="AB570:AF570"/>
    <mergeCell ref="X570:Y571"/>
    <mergeCell ref="R572:U572"/>
    <mergeCell ref="W572:Z572"/>
    <mergeCell ref="AB572:AE572"/>
    <mergeCell ref="AI572:AK572"/>
    <mergeCell ref="Q575:Q576"/>
    <mergeCell ref="R575:R576"/>
    <mergeCell ref="S575:W575"/>
    <mergeCell ref="F575:F576"/>
    <mergeCell ref="G575:H575"/>
    <mergeCell ref="I575:L576"/>
    <mergeCell ref="M575:N575"/>
    <mergeCell ref="AG575:AH576"/>
    <mergeCell ref="G576:H576"/>
    <mergeCell ref="M576:N576"/>
    <mergeCell ref="S576:W576"/>
    <mergeCell ref="AB576:AF576"/>
    <mergeCell ref="X575:Y576"/>
    <mergeCell ref="Z575:Z576"/>
    <mergeCell ref="AA575:AA576"/>
    <mergeCell ref="AB575:AF575"/>
    <mergeCell ref="O575:P576"/>
    <mergeCell ref="R577:U577"/>
    <mergeCell ref="W577:Z577"/>
    <mergeCell ref="AB577:AE577"/>
    <mergeCell ref="AI577:AK577"/>
  </mergeCells>
  <printOptions/>
  <pageMargins left="0.551181102362205" right="0.551181102362205" top="0.9842519685039375" bottom="0.9842519685039375" header="0.5" footer="0.5"/>
  <pageSetup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J113"/>
  <sheetViews>
    <sheetView zoomScaleSheetLayoutView="100" workbookViewId="0" topLeftCell="A1">
      <selection activeCell="A1" sqref="A1:IV16384"/>
    </sheetView>
  </sheetViews>
  <sheetFormatPr defaultColWidth="8.88671875" defaultRowHeight="18" customHeight="1"/>
  <cols>
    <col min="1" max="16384" width="1.77734375" style="53" customWidth="1"/>
  </cols>
  <sheetData>
    <row r="1" ht="18" customHeight="1">
      <c r="A1" s="52" t="s">
        <v>172</v>
      </c>
    </row>
    <row r="3" spans="1:25" ht="18" customHeight="1">
      <c r="A3" s="54" t="s">
        <v>173</v>
      </c>
      <c r="G3" s="55">
        <v>6</v>
      </c>
      <c r="H3" s="55"/>
      <c r="I3" s="53" t="s">
        <v>63</v>
      </c>
      <c r="K3" s="53" t="s">
        <v>174</v>
      </c>
      <c r="M3" s="55">
        <v>24</v>
      </c>
      <c r="N3" s="55"/>
      <c r="O3" s="53" t="s">
        <v>64</v>
      </c>
      <c r="V3" s="56">
        <v>0.63</v>
      </c>
      <c r="W3" s="56"/>
      <c r="X3" s="56"/>
      <c r="Y3" s="53" t="s">
        <v>65</v>
      </c>
    </row>
    <row r="4" spans="1:70" ht="18" customHeight="1">
      <c r="A4" s="57" t="s">
        <v>175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 t="s">
        <v>176</v>
      </c>
      <c r="AA4" s="3"/>
      <c r="AB4" s="3"/>
      <c r="AC4" s="3"/>
      <c r="AD4" s="3"/>
      <c r="AE4" s="3"/>
      <c r="AF4" s="3"/>
      <c r="AG4" s="58" t="s">
        <v>177</v>
      </c>
      <c r="AH4" s="59"/>
      <c r="AI4" s="59"/>
      <c r="AJ4" s="59"/>
      <c r="AK4" s="60" t="s">
        <v>1</v>
      </c>
      <c r="AL4" s="3"/>
      <c r="AM4" s="3"/>
      <c r="AN4" s="3"/>
      <c r="AO4" s="3"/>
      <c r="AP4" s="3"/>
      <c r="AQ4" s="3"/>
      <c r="AU4" s="61"/>
      <c r="AX4" s="62"/>
      <c r="AY4" s="62"/>
      <c r="AZ4" s="62"/>
      <c r="BA4" s="62"/>
      <c r="BB4" s="62"/>
      <c r="BC4" s="62"/>
      <c r="BD4" s="62"/>
      <c r="BM4" s="62"/>
      <c r="BN4" s="62"/>
      <c r="BO4" s="62"/>
      <c r="BP4" s="62"/>
      <c r="BQ4" s="62"/>
      <c r="BR4" s="62"/>
    </row>
    <row r="5" spans="1:70" ht="18" customHeight="1">
      <c r="A5" s="3"/>
      <c r="B5" s="3"/>
      <c r="C5" s="3"/>
      <c r="D5" s="3"/>
      <c r="E5" s="63"/>
      <c r="F5" s="63"/>
      <c r="G5" s="63"/>
      <c r="H5" s="63"/>
      <c r="I5" s="63"/>
      <c r="J5" s="63"/>
      <c r="K5" s="63"/>
      <c r="M5" s="62"/>
      <c r="N5" s="62"/>
      <c r="O5" s="62"/>
      <c r="P5" s="62"/>
      <c r="Q5" s="62"/>
      <c r="R5" s="62"/>
      <c r="S5" s="62"/>
      <c r="T5" s="63"/>
      <c r="U5" s="63"/>
      <c r="V5" s="63"/>
      <c r="W5" s="63"/>
      <c r="X5" s="63"/>
      <c r="Y5" s="63"/>
      <c r="Z5" s="3"/>
      <c r="AA5" s="3"/>
      <c r="AB5" s="3"/>
      <c r="AC5" s="3"/>
      <c r="AD5" s="3"/>
      <c r="AX5" s="62"/>
      <c r="AY5" s="62"/>
      <c r="AZ5" s="62"/>
      <c r="BA5" s="62"/>
      <c r="BB5" s="62"/>
      <c r="BC5" s="62"/>
      <c r="BD5" s="62"/>
      <c r="BM5" s="62"/>
      <c r="BN5" s="62"/>
      <c r="BO5" s="62"/>
      <c r="BP5" s="62"/>
      <c r="BQ5" s="62"/>
      <c r="BR5" s="62"/>
    </row>
    <row r="6" spans="1:50" ht="18" customHeight="1">
      <c r="A6" s="3"/>
      <c r="B6" s="3"/>
      <c r="C6" s="3"/>
      <c r="D6" s="3"/>
      <c r="E6" s="63"/>
      <c r="F6" s="63"/>
      <c r="G6" s="63"/>
      <c r="L6" s="62"/>
      <c r="M6" s="62"/>
      <c r="N6" s="62"/>
      <c r="O6" s="62"/>
      <c r="P6" s="62"/>
      <c r="Q6" s="62"/>
      <c r="R6" s="62"/>
      <c r="S6" s="62"/>
      <c r="W6" s="62"/>
      <c r="X6" s="63"/>
      <c r="Y6" s="63"/>
      <c r="Z6" s="3"/>
      <c r="AA6" s="3"/>
      <c r="AB6" s="3"/>
      <c r="AC6" s="3"/>
      <c r="AD6" s="3"/>
      <c r="AE6" s="57" t="s">
        <v>66</v>
      </c>
      <c r="AF6" s="3"/>
      <c r="AG6" s="58">
        <v>2.6</v>
      </c>
      <c r="AH6" s="58"/>
      <c r="AI6" s="58"/>
      <c r="AJ6" s="3" t="s">
        <v>65</v>
      </c>
      <c r="AK6" s="3"/>
      <c r="AL6" s="3"/>
      <c r="AM6" s="3"/>
      <c r="AN6" s="3"/>
      <c r="AO6" s="3"/>
      <c r="AP6" s="3"/>
      <c r="AQ6" s="3"/>
      <c r="AX6" s="62"/>
    </row>
    <row r="7" spans="1:43" ht="18" customHeight="1">
      <c r="A7" s="3"/>
      <c r="B7" s="3"/>
      <c r="C7" s="3"/>
      <c r="D7" s="3"/>
      <c r="E7" s="3"/>
      <c r="F7" s="3"/>
      <c r="G7" s="3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3"/>
      <c r="X7" s="3"/>
      <c r="Y7" s="3"/>
      <c r="Z7" s="3"/>
      <c r="AA7" s="3"/>
      <c r="AB7" s="3"/>
      <c r="AC7" s="3"/>
      <c r="AD7" s="3"/>
      <c r="AE7" s="3" t="s">
        <v>178</v>
      </c>
      <c r="AF7" s="3"/>
      <c r="AG7" s="58">
        <v>1.2</v>
      </c>
      <c r="AH7" s="58"/>
      <c r="AI7" s="58"/>
      <c r="AJ7" s="3" t="s">
        <v>179</v>
      </c>
      <c r="AK7" s="3" t="s">
        <v>180</v>
      </c>
      <c r="AL7" s="3"/>
      <c r="AM7" s="58">
        <v>1.2</v>
      </c>
      <c r="AN7" s="58"/>
      <c r="AO7" s="58"/>
      <c r="AP7" s="3" t="s">
        <v>181</v>
      </c>
      <c r="AQ7" s="3"/>
    </row>
    <row r="8" spans="1:36" ht="18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C8" s="3"/>
      <c r="AD8" s="3"/>
      <c r="AE8" s="3" t="s">
        <v>182</v>
      </c>
      <c r="AF8" s="3"/>
      <c r="AG8" s="58">
        <v>2.1</v>
      </c>
      <c r="AH8" s="58"/>
      <c r="AI8" s="58"/>
      <c r="AJ8" s="3" t="s">
        <v>181</v>
      </c>
    </row>
    <row r="9" spans="1:43" ht="18" customHeight="1">
      <c r="A9" s="3"/>
      <c r="B9" s="3"/>
      <c r="C9" s="3"/>
      <c r="D9" s="3"/>
      <c r="E9" s="3"/>
      <c r="F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64"/>
      <c r="AC9" s="3"/>
      <c r="AD9" s="3"/>
      <c r="AE9" s="57" t="s">
        <v>183</v>
      </c>
      <c r="AK9" s="3"/>
      <c r="AL9" s="3"/>
      <c r="AM9" s="3"/>
      <c r="AN9" s="3"/>
      <c r="AO9" s="3"/>
      <c r="AP9" s="3"/>
      <c r="AQ9" s="3"/>
    </row>
    <row r="10" spans="1:43" ht="18" customHeight="1">
      <c r="A10" s="3"/>
      <c r="B10" s="3"/>
      <c r="C10" s="3"/>
      <c r="D10" s="3"/>
      <c r="E10" s="3"/>
      <c r="F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C10" s="3"/>
      <c r="AD10" s="3"/>
      <c r="AE10" s="57" t="s">
        <v>184</v>
      </c>
      <c r="AF10" s="3"/>
      <c r="AG10" s="33">
        <f>AG7+AM7+AG16*2</f>
        <v>2.6399999999999997</v>
      </c>
      <c r="AH10" s="33"/>
      <c r="AI10" s="33"/>
      <c r="AJ10" s="3" t="s">
        <v>179</v>
      </c>
      <c r="AK10" s="57" t="s">
        <v>185</v>
      </c>
      <c r="AL10" s="3"/>
      <c r="AM10" s="33">
        <f>AG8+AG17*2</f>
        <v>2.34</v>
      </c>
      <c r="AN10" s="33"/>
      <c r="AO10" s="33"/>
      <c r="AP10" s="3" t="s">
        <v>181</v>
      </c>
      <c r="AQ10" s="3"/>
    </row>
    <row r="11" spans="1:52" ht="18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65" t="str">
        <f>C32&amp;" - "&amp;AG18&amp;" x "&amp;AJ18</f>
        <v>5 - 150 x 14</v>
      </c>
      <c r="N11" s="65"/>
      <c r="O11" s="65"/>
      <c r="P11" s="65"/>
      <c r="Q11" s="65"/>
      <c r="R11" s="65"/>
      <c r="S11" s="3"/>
      <c r="T11" s="3"/>
      <c r="U11" s="3"/>
      <c r="V11" s="3"/>
      <c r="W11" s="3"/>
      <c r="X11" s="3"/>
      <c r="Y11" s="3"/>
      <c r="Z11" s="3"/>
      <c r="AA11" s="3"/>
      <c r="AC11" s="3"/>
      <c r="AD11" s="3"/>
      <c r="AE11" s="57" t="s">
        <v>186</v>
      </c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V11" s="3"/>
      <c r="AW11" s="3"/>
      <c r="AX11" s="3"/>
      <c r="AY11" s="3"/>
      <c r="AZ11" s="3"/>
    </row>
    <row r="12" spans="1:81" ht="18" customHeight="1">
      <c r="A12" s="3"/>
      <c r="B12" s="3"/>
      <c r="C12" s="3"/>
      <c r="D12" s="3"/>
      <c r="E12" s="3"/>
      <c r="F12" s="3"/>
      <c r="G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C12" s="3"/>
      <c r="AD12" s="3"/>
      <c r="AE12" s="57" t="s">
        <v>187</v>
      </c>
      <c r="AF12" s="3"/>
      <c r="AG12" s="58">
        <v>2.64</v>
      </c>
      <c r="AH12" s="58"/>
      <c r="AI12" s="58"/>
      <c r="AJ12" s="3" t="s">
        <v>179</v>
      </c>
      <c r="AK12" s="57" t="s">
        <v>188</v>
      </c>
      <c r="AL12" s="3"/>
      <c r="AM12" s="58">
        <v>2.34</v>
      </c>
      <c r="AN12" s="58"/>
      <c r="AO12" s="58"/>
      <c r="AP12" s="3" t="s">
        <v>181</v>
      </c>
      <c r="AQ12" s="3"/>
      <c r="AV12" s="3"/>
      <c r="AW12" s="3"/>
      <c r="AX12" s="3"/>
      <c r="AY12" s="3"/>
      <c r="AZ12" s="3"/>
      <c r="CA12" s="66"/>
      <c r="CB12" s="66"/>
      <c r="CC12" s="66"/>
    </row>
    <row r="13" spans="1:81" ht="18" customHeight="1">
      <c r="A13" s="3"/>
      <c r="B13" s="3"/>
      <c r="C13" s="3"/>
      <c r="D13" s="67" t="s">
        <v>189</v>
      </c>
      <c r="E13" s="67"/>
      <c r="F13" s="68">
        <f>DEGREES(ATAN((AG7-AG8/2)/AG6))</f>
        <v>3.301865674435001</v>
      </c>
      <c r="G13" s="68"/>
      <c r="H13" s="68"/>
      <c r="I13" s="69" t="s">
        <v>190</v>
      </c>
      <c r="J13" s="3"/>
      <c r="K13" s="3"/>
      <c r="L13" s="3"/>
      <c r="M13" s="3"/>
      <c r="N13" s="65" t="str">
        <f>C35&amp;" - "&amp;AN18&amp;" x "&amp;AQ18</f>
        <v>2 - 150 x 14</v>
      </c>
      <c r="O13" s="65"/>
      <c r="P13" s="65"/>
      <c r="Q13" s="65"/>
      <c r="R13" s="65"/>
      <c r="S13" s="65"/>
      <c r="T13" s="3"/>
      <c r="U13" s="3"/>
      <c r="V13" s="67" t="s">
        <v>191</v>
      </c>
      <c r="W13" s="67"/>
      <c r="X13" s="68">
        <f>DEGREES(ATAN((AM7-AG8/2)/AG6))</f>
        <v>3.301865674435001</v>
      </c>
      <c r="Y13" s="68"/>
      <c r="Z13" s="68"/>
      <c r="AA13" s="69" t="s">
        <v>190</v>
      </c>
      <c r="AB13" s="3"/>
      <c r="AC13" s="3"/>
      <c r="AD13" s="3"/>
      <c r="AE13" s="57" t="s">
        <v>67</v>
      </c>
      <c r="AF13" s="3"/>
      <c r="AG13" s="58">
        <v>0.012</v>
      </c>
      <c r="AH13" s="58"/>
      <c r="AI13" s="58"/>
      <c r="AJ13" s="3" t="s">
        <v>65</v>
      </c>
      <c r="AK13" s="3"/>
      <c r="AL13" s="3"/>
      <c r="AM13" s="3"/>
      <c r="AN13" s="3"/>
      <c r="AO13" s="3"/>
      <c r="AP13" s="3"/>
      <c r="AQ13" s="3"/>
      <c r="AV13" s="3"/>
      <c r="AW13" s="67"/>
      <c r="AX13" s="67"/>
      <c r="AY13" s="3"/>
      <c r="AZ13" s="3"/>
      <c r="CA13" s="66"/>
      <c r="CB13" s="66"/>
      <c r="CC13" s="66"/>
    </row>
    <row r="14" spans="1:81" ht="18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57" t="s">
        <v>68</v>
      </c>
      <c r="AF14" s="3"/>
      <c r="AG14" s="58">
        <v>0.012</v>
      </c>
      <c r="AH14" s="58"/>
      <c r="AI14" s="58"/>
      <c r="AJ14" s="3" t="s">
        <v>65</v>
      </c>
      <c r="AK14" s="3"/>
      <c r="AL14" s="3"/>
      <c r="AM14" s="3"/>
      <c r="AN14" s="3"/>
      <c r="AO14" s="3"/>
      <c r="AP14" s="3"/>
      <c r="AQ14" s="3"/>
      <c r="AV14" s="3"/>
      <c r="AW14" s="3"/>
      <c r="AX14" s="3"/>
      <c r="AY14" s="3"/>
      <c r="AZ14" s="3"/>
      <c r="CA14" s="66"/>
      <c r="CB14" s="66"/>
      <c r="CC14" s="66"/>
    </row>
    <row r="15" spans="1:81" ht="18" customHeight="1">
      <c r="A15" s="3"/>
      <c r="B15" s="3"/>
      <c r="C15" s="3"/>
      <c r="D15" s="3"/>
      <c r="E15" s="3"/>
      <c r="F15" s="3"/>
      <c r="G15" s="3"/>
      <c r="H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57" t="s">
        <v>69</v>
      </c>
      <c r="AF15" s="3"/>
      <c r="AG15" s="58">
        <v>0.01</v>
      </c>
      <c r="AH15" s="58"/>
      <c r="AI15" s="58"/>
      <c r="AJ15" s="3" t="s">
        <v>65</v>
      </c>
      <c r="AK15" s="3"/>
      <c r="AL15" s="3"/>
      <c r="AM15" s="3"/>
      <c r="AN15" s="3"/>
      <c r="AO15" s="3"/>
      <c r="AP15" s="3"/>
      <c r="AQ15" s="3"/>
      <c r="CA15" s="66"/>
      <c r="CB15" s="66"/>
      <c r="CC15" s="66"/>
    </row>
    <row r="16" spans="1:81" ht="18" customHeight="1">
      <c r="A16" s="3"/>
      <c r="B16" s="3"/>
      <c r="E16" s="62"/>
      <c r="F16" s="62"/>
      <c r="G16" s="62"/>
      <c r="H16" s="62"/>
      <c r="I16" s="62"/>
      <c r="J16" s="70"/>
      <c r="K16" s="62"/>
      <c r="L16" s="62"/>
      <c r="M16" s="62"/>
      <c r="N16" s="62"/>
      <c r="O16" s="62"/>
      <c r="P16" s="62"/>
      <c r="Q16" s="62"/>
      <c r="R16" s="62"/>
      <c r="S16" s="62"/>
      <c r="T16" s="71"/>
      <c r="U16" s="62"/>
      <c r="V16" s="62"/>
      <c r="AD16" s="3"/>
      <c r="AE16" s="53" t="s">
        <v>192</v>
      </c>
      <c r="AG16" s="56">
        <v>0.12</v>
      </c>
      <c r="AH16" s="56"/>
      <c r="AI16" s="56"/>
      <c r="AJ16" s="53" t="s">
        <v>65</v>
      </c>
      <c r="AK16" s="3"/>
      <c r="AL16" s="3"/>
      <c r="AM16" s="3"/>
      <c r="AN16" s="3"/>
      <c r="AO16" s="3"/>
      <c r="AP16" s="3"/>
      <c r="AQ16" s="3"/>
      <c r="AX16" s="62"/>
      <c r="CA16" s="66"/>
      <c r="CB16" s="66"/>
      <c r="CC16" s="66"/>
    </row>
    <row r="17" spans="5:50" ht="18" customHeight="1">
      <c r="E17" s="62"/>
      <c r="F17" s="62"/>
      <c r="G17" s="62"/>
      <c r="H17" s="62"/>
      <c r="I17" s="62"/>
      <c r="J17" s="62"/>
      <c r="K17" s="62"/>
      <c r="N17" s="62"/>
      <c r="O17" s="62"/>
      <c r="P17" s="62"/>
      <c r="Q17" s="62"/>
      <c r="R17" s="62"/>
      <c r="S17" s="62"/>
      <c r="T17" s="62"/>
      <c r="U17" s="62"/>
      <c r="V17" s="62"/>
      <c r="AE17" s="53" t="s">
        <v>193</v>
      </c>
      <c r="AG17" s="56">
        <v>0.12</v>
      </c>
      <c r="AH17" s="56"/>
      <c r="AI17" s="56"/>
      <c r="AJ17" s="53" t="s">
        <v>65</v>
      </c>
      <c r="AX17" s="62"/>
    </row>
    <row r="18" spans="31:45" ht="18" customHeight="1">
      <c r="AE18" s="53" t="s">
        <v>70</v>
      </c>
      <c r="AG18" s="55">
        <v>150</v>
      </c>
      <c r="AH18" s="55"/>
      <c r="AI18" s="72" t="s">
        <v>194</v>
      </c>
      <c r="AJ18" s="55">
        <v>14</v>
      </c>
      <c r="AK18" s="55"/>
      <c r="AL18" s="53" t="s">
        <v>71</v>
      </c>
      <c r="AM18" s="53" t="s">
        <v>179</v>
      </c>
      <c r="AN18" s="55">
        <v>150</v>
      </c>
      <c r="AO18" s="55"/>
      <c r="AP18" s="72" t="s">
        <v>194</v>
      </c>
      <c r="AQ18" s="55">
        <v>14</v>
      </c>
      <c r="AR18" s="55"/>
      <c r="AS18" s="53" t="s">
        <v>71</v>
      </c>
    </row>
    <row r="19" spans="33:83" ht="18" customHeight="1">
      <c r="AG19" s="73"/>
      <c r="AH19" s="73"/>
      <c r="AI19" s="72"/>
      <c r="AJ19" s="73"/>
      <c r="AK19" s="73"/>
      <c r="AN19" s="73"/>
      <c r="AO19" s="73"/>
      <c r="AP19" s="72"/>
      <c r="AQ19" s="73"/>
      <c r="AR19" s="73"/>
      <c r="CA19" s="73"/>
      <c r="CB19" s="72"/>
      <c r="CD19" s="73"/>
      <c r="CE19" s="72"/>
    </row>
    <row r="20" spans="4:53" ht="18" customHeight="1">
      <c r="D20" s="74" t="s">
        <v>195</v>
      </c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6"/>
      <c r="AC20" s="74" t="s">
        <v>196</v>
      </c>
      <c r="AD20" s="31"/>
      <c r="AE20" s="31"/>
      <c r="AF20" s="32"/>
      <c r="AG20" s="77" t="s">
        <v>197</v>
      </c>
      <c r="AH20" s="75"/>
      <c r="AI20" s="75"/>
      <c r="AJ20" s="75"/>
      <c r="AK20" s="75"/>
      <c r="AL20" s="76"/>
      <c r="AU20" s="3"/>
      <c r="AV20" s="3"/>
      <c r="AW20" s="3"/>
      <c r="AX20" s="3"/>
      <c r="AY20" s="3"/>
      <c r="AZ20" s="3"/>
      <c r="BA20" s="3"/>
    </row>
    <row r="21" spans="4:53" ht="18" customHeight="1">
      <c r="D21" s="78" t="s">
        <v>198</v>
      </c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80"/>
      <c r="AC21" s="81" t="s">
        <v>101</v>
      </c>
      <c r="AD21" s="81"/>
      <c r="AE21" s="81"/>
      <c r="AF21" s="81"/>
      <c r="AG21" s="82">
        <v>200000</v>
      </c>
      <c r="AH21" s="83"/>
      <c r="AI21" s="83"/>
      <c r="AJ21" s="83"/>
      <c r="AK21" s="83"/>
      <c r="AL21" s="84"/>
      <c r="AU21" s="3"/>
      <c r="AV21" s="155"/>
      <c r="AW21" s="3"/>
      <c r="AX21" s="3"/>
      <c r="AY21" s="3"/>
      <c r="AZ21" s="3"/>
      <c r="BA21" s="3"/>
    </row>
    <row r="22" spans="4:53" ht="18" customHeight="1">
      <c r="D22" s="78" t="s">
        <v>199</v>
      </c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80"/>
      <c r="AC22" s="85" t="s">
        <v>200</v>
      </c>
      <c r="AD22" s="81"/>
      <c r="AE22" s="81"/>
      <c r="AF22" s="86"/>
      <c r="AG22" s="87">
        <v>-3435.041</v>
      </c>
      <c r="AH22" s="88"/>
      <c r="AI22" s="88"/>
      <c r="AJ22" s="88"/>
      <c r="AK22" s="88"/>
      <c r="AL22" s="89"/>
      <c r="AU22" s="3"/>
      <c r="AV22" s="155"/>
      <c r="AW22" s="3"/>
      <c r="AX22" s="3"/>
      <c r="AY22" s="3"/>
      <c r="AZ22" s="3"/>
      <c r="BA22" s="3"/>
    </row>
    <row r="23" spans="4:53" ht="18" customHeight="1">
      <c r="D23" s="78" t="s">
        <v>102</v>
      </c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80"/>
      <c r="AC23" s="85" t="s">
        <v>200</v>
      </c>
      <c r="AD23" s="81"/>
      <c r="AE23" s="81"/>
      <c r="AF23" s="86"/>
      <c r="AG23" s="87">
        <v>-2860.168</v>
      </c>
      <c r="AH23" s="88"/>
      <c r="AI23" s="88"/>
      <c r="AJ23" s="88"/>
      <c r="AK23" s="88"/>
      <c r="AL23" s="89"/>
      <c r="AU23" s="3"/>
      <c r="AV23" s="155"/>
      <c r="AW23" s="3"/>
      <c r="AX23" s="3"/>
      <c r="AY23" s="3"/>
      <c r="AZ23" s="3"/>
      <c r="BA23" s="3"/>
    </row>
    <row r="24" spans="4:53" ht="18" customHeight="1">
      <c r="D24" s="78" t="s">
        <v>201</v>
      </c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80"/>
      <c r="AC24" s="85" t="s">
        <v>202</v>
      </c>
      <c r="AD24" s="81"/>
      <c r="AE24" s="81"/>
      <c r="AF24" s="86"/>
      <c r="AG24" s="87">
        <v>1058.779</v>
      </c>
      <c r="AH24" s="88"/>
      <c r="AI24" s="88"/>
      <c r="AJ24" s="88"/>
      <c r="AK24" s="88"/>
      <c r="AL24" s="89"/>
      <c r="AU24" s="3"/>
      <c r="AV24" s="155"/>
      <c r="AW24" s="3"/>
      <c r="AX24" s="3"/>
      <c r="AY24" s="3"/>
      <c r="AZ24" s="3"/>
      <c r="BA24" s="3"/>
    </row>
    <row r="25" spans="4:53" ht="18" customHeight="1">
      <c r="D25" s="78" t="s">
        <v>103</v>
      </c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80"/>
      <c r="AC25" s="85" t="s">
        <v>202</v>
      </c>
      <c r="AD25" s="81"/>
      <c r="AE25" s="81"/>
      <c r="AF25" s="86"/>
      <c r="AG25" s="87">
        <v>536.031</v>
      </c>
      <c r="AH25" s="88"/>
      <c r="AI25" s="88"/>
      <c r="AJ25" s="88"/>
      <c r="AK25" s="88"/>
      <c r="AL25" s="89"/>
      <c r="AU25" s="3"/>
      <c r="AV25" s="155"/>
      <c r="AW25" s="3"/>
      <c r="AX25" s="3"/>
      <c r="AY25" s="3"/>
      <c r="AZ25" s="3"/>
      <c r="BA25" s="3"/>
    </row>
    <row r="26" spans="4:53" ht="18" customHeight="1">
      <c r="D26" s="78" t="s">
        <v>203</v>
      </c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80"/>
      <c r="AC26" s="85" t="s">
        <v>200</v>
      </c>
      <c r="AD26" s="81"/>
      <c r="AE26" s="81"/>
      <c r="AF26" s="86"/>
      <c r="AG26" s="87">
        <v>-49.816</v>
      </c>
      <c r="AH26" s="88"/>
      <c r="AI26" s="88"/>
      <c r="AJ26" s="88"/>
      <c r="AK26" s="88"/>
      <c r="AL26" s="89"/>
      <c r="AU26" s="3"/>
      <c r="AV26" s="155"/>
      <c r="AW26" s="3"/>
      <c r="AX26" s="3"/>
      <c r="AY26" s="3"/>
      <c r="AZ26" s="3"/>
      <c r="BA26" s="3"/>
    </row>
    <row r="27" spans="4:53" ht="18" customHeight="1">
      <c r="D27" s="78" t="s">
        <v>104</v>
      </c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80"/>
      <c r="AC27" s="85" t="s">
        <v>200</v>
      </c>
      <c r="AD27" s="81"/>
      <c r="AE27" s="81"/>
      <c r="AF27" s="86"/>
      <c r="AG27" s="87">
        <v>-286.945</v>
      </c>
      <c r="AH27" s="88"/>
      <c r="AI27" s="88"/>
      <c r="AJ27" s="88"/>
      <c r="AK27" s="88"/>
      <c r="AL27" s="89"/>
      <c r="AU27" s="3"/>
      <c r="AV27" s="155"/>
      <c r="AW27" s="3"/>
      <c r="AX27" s="3"/>
      <c r="AY27" s="3"/>
      <c r="AZ27" s="3"/>
      <c r="BA27" s="3"/>
    </row>
    <row r="28" spans="47:53" ht="18" customHeight="1">
      <c r="AU28" s="3"/>
      <c r="AV28" s="3"/>
      <c r="AW28" s="3"/>
      <c r="AX28" s="3"/>
      <c r="AY28" s="3"/>
      <c r="AZ28" s="3"/>
      <c r="BA28" s="3"/>
    </row>
    <row r="29" spans="4:53" ht="18" customHeight="1">
      <c r="D29" s="53" t="s">
        <v>204</v>
      </c>
      <c r="AU29" s="3"/>
      <c r="AV29" s="3"/>
      <c r="AW29" s="3"/>
      <c r="AX29" s="3"/>
      <c r="AY29" s="3"/>
      <c r="AZ29" s="3"/>
      <c r="BA29" s="3"/>
    </row>
    <row r="30" spans="3:53" ht="18" customHeight="1">
      <c r="C30" s="74" t="s">
        <v>205</v>
      </c>
      <c r="D30" s="75"/>
      <c r="E30" s="75"/>
      <c r="F30" s="75"/>
      <c r="G30" s="75"/>
      <c r="H30" s="75"/>
      <c r="I30" s="75"/>
      <c r="J30" s="76"/>
      <c r="K30" s="77" t="s">
        <v>206</v>
      </c>
      <c r="L30" s="75"/>
      <c r="M30" s="76"/>
      <c r="N30" s="77" t="s">
        <v>207</v>
      </c>
      <c r="O30" s="75"/>
      <c r="P30" s="76"/>
      <c r="Q30" s="77" t="s">
        <v>208</v>
      </c>
      <c r="R30" s="75"/>
      <c r="S30" s="75"/>
      <c r="T30" s="76"/>
      <c r="U30" s="77" t="s">
        <v>209</v>
      </c>
      <c r="V30" s="75"/>
      <c r="W30" s="75"/>
      <c r="X30" s="76"/>
      <c r="Y30" s="77" t="s">
        <v>210</v>
      </c>
      <c r="Z30" s="75"/>
      <c r="AA30" s="75"/>
      <c r="AB30" s="75"/>
      <c r="AC30" s="76"/>
      <c r="AD30" s="77" t="s">
        <v>211</v>
      </c>
      <c r="AE30" s="75"/>
      <c r="AF30" s="75"/>
      <c r="AG30" s="75"/>
      <c r="AH30" s="75"/>
      <c r="AI30" s="76"/>
      <c r="AJ30" s="77" t="s">
        <v>212</v>
      </c>
      <c r="AK30" s="75"/>
      <c r="AL30" s="75"/>
      <c r="AM30" s="75"/>
      <c r="AN30" s="75"/>
      <c r="AO30" s="76"/>
      <c r="AU30" s="3"/>
      <c r="AV30" s="3"/>
      <c r="AW30" s="3"/>
      <c r="AX30" s="3"/>
      <c r="AY30" s="3"/>
      <c r="AZ30" s="3"/>
      <c r="BA30" s="3"/>
    </row>
    <row r="31" spans="3:53" ht="18" customHeight="1">
      <c r="C31" s="90">
        <v>1</v>
      </c>
      <c r="D31" s="79" t="s">
        <v>72</v>
      </c>
      <c r="E31" s="79" t="s">
        <v>73</v>
      </c>
      <c r="F31" s="79"/>
      <c r="G31" s="79"/>
      <c r="H31" s="79"/>
      <c r="I31" s="79"/>
      <c r="J31" s="80"/>
      <c r="K31" s="91">
        <f>AG12*1000</f>
        <v>2640</v>
      </c>
      <c r="L31" s="92"/>
      <c r="M31" s="93"/>
      <c r="N31" s="91">
        <f>AG13*1000</f>
        <v>12</v>
      </c>
      <c r="O31" s="92"/>
      <c r="P31" s="93"/>
      <c r="Q31" s="94">
        <f aca="true" t="shared" si="0" ref="Q31:Q36">C31*K31*N31</f>
        <v>31680</v>
      </c>
      <c r="R31" s="95"/>
      <c r="S31" s="95"/>
      <c r="T31" s="96"/>
      <c r="U31" s="97">
        <f>-(N31+AG6*1000)/2</f>
        <v>-1306</v>
      </c>
      <c r="V31" s="98"/>
      <c r="W31" s="98"/>
      <c r="X31" s="99"/>
      <c r="Y31" s="108">
        <f aca="true" t="shared" si="1" ref="Y31:Y36">Q31*U31</f>
        <v>-41374080</v>
      </c>
      <c r="Z31" s="109"/>
      <c r="AA31" s="109"/>
      <c r="AB31" s="109"/>
      <c r="AC31" s="110"/>
      <c r="AD31" s="94">
        <f aca="true" t="shared" si="2" ref="AD31:AD36">U31*Y31</f>
        <v>54034548480</v>
      </c>
      <c r="AE31" s="95"/>
      <c r="AF31" s="95"/>
      <c r="AG31" s="95"/>
      <c r="AH31" s="95"/>
      <c r="AI31" s="96"/>
      <c r="AJ31" s="94">
        <f>C31*K31*POWER(N31,3)/12</f>
        <v>380160</v>
      </c>
      <c r="AK31" s="95"/>
      <c r="AL31" s="95"/>
      <c r="AM31" s="95"/>
      <c r="AN31" s="95"/>
      <c r="AO31" s="96"/>
      <c r="AU31" s="3"/>
      <c r="AV31" s="100"/>
      <c r="AW31" s="3"/>
      <c r="AX31" s="3"/>
      <c r="AY31" s="3"/>
      <c r="AZ31" s="3"/>
      <c r="BA31" s="3"/>
    </row>
    <row r="32" spans="3:53" ht="18" customHeight="1">
      <c r="C32" s="101">
        <v>5</v>
      </c>
      <c r="D32" s="79" t="s">
        <v>72</v>
      </c>
      <c r="E32" s="79" t="s">
        <v>74</v>
      </c>
      <c r="F32" s="79"/>
      <c r="G32" s="79"/>
      <c r="H32" s="79"/>
      <c r="I32" s="79"/>
      <c r="J32" s="80"/>
      <c r="K32" s="91">
        <f>AJ18</f>
        <v>14</v>
      </c>
      <c r="L32" s="92"/>
      <c r="M32" s="93"/>
      <c r="N32" s="91">
        <f>AG18</f>
        <v>150</v>
      </c>
      <c r="O32" s="92"/>
      <c r="P32" s="93"/>
      <c r="Q32" s="94">
        <f t="shared" si="0"/>
        <v>10500</v>
      </c>
      <c r="R32" s="95"/>
      <c r="S32" s="95"/>
      <c r="T32" s="96"/>
      <c r="U32" s="97">
        <f>-(AG6*1000-N32)/2</f>
        <v>-1225</v>
      </c>
      <c r="V32" s="98"/>
      <c r="W32" s="98"/>
      <c r="X32" s="99"/>
      <c r="Y32" s="108">
        <f t="shared" si="1"/>
        <v>-12862500</v>
      </c>
      <c r="Z32" s="109"/>
      <c r="AA32" s="109"/>
      <c r="AB32" s="109"/>
      <c r="AC32" s="110"/>
      <c r="AD32" s="94">
        <f t="shared" si="2"/>
        <v>15756562500</v>
      </c>
      <c r="AE32" s="95"/>
      <c r="AF32" s="95"/>
      <c r="AG32" s="95"/>
      <c r="AH32" s="95"/>
      <c r="AI32" s="96"/>
      <c r="AJ32" s="94">
        <f>C32*K32*POWER(N32,3)/12</f>
        <v>19687500</v>
      </c>
      <c r="AK32" s="95"/>
      <c r="AL32" s="95"/>
      <c r="AM32" s="95"/>
      <c r="AN32" s="95"/>
      <c r="AO32" s="96"/>
      <c r="AU32" s="3"/>
      <c r="AV32" s="3"/>
      <c r="AW32" s="3"/>
      <c r="AX32" s="3"/>
      <c r="AY32" s="3"/>
      <c r="AZ32" s="3"/>
      <c r="BA32" s="3"/>
    </row>
    <row r="33" spans="3:53" ht="18" customHeight="1">
      <c r="C33" s="102">
        <v>1</v>
      </c>
      <c r="D33" s="103" t="s">
        <v>72</v>
      </c>
      <c r="E33" s="103" t="s">
        <v>213</v>
      </c>
      <c r="F33" s="103"/>
      <c r="G33" s="103"/>
      <c r="H33" s="103"/>
      <c r="I33" s="103"/>
      <c r="J33" s="104"/>
      <c r="K33" s="97">
        <f>AG15*1000</f>
        <v>10</v>
      </c>
      <c r="L33" s="81"/>
      <c r="M33" s="86"/>
      <c r="N33" s="97">
        <f>AG6/COS(RADIANS(F13))*1000</f>
        <v>2604.3233286210834</v>
      </c>
      <c r="O33" s="81"/>
      <c r="P33" s="86"/>
      <c r="Q33" s="105">
        <f t="shared" si="0"/>
        <v>26043.233286210834</v>
      </c>
      <c r="R33" s="106"/>
      <c r="S33" s="106"/>
      <c r="T33" s="107"/>
      <c r="U33" s="97">
        <v>0</v>
      </c>
      <c r="V33" s="98"/>
      <c r="W33" s="98"/>
      <c r="X33" s="99"/>
      <c r="Y33" s="108">
        <f t="shared" si="1"/>
        <v>0</v>
      </c>
      <c r="Z33" s="109"/>
      <c r="AA33" s="109"/>
      <c r="AB33" s="109"/>
      <c r="AC33" s="110"/>
      <c r="AD33" s="108">
        <f t="shared" si="2"/>
        <v>0</v>
      </c>
      <c r="AE33" s="109"/>
      <c r="AF33" s="109"/>
      <c r="AG33" s="109"/>
      <c r="AH33" s="109"/>
      <c r="AI33" s="110"/>
      <c r="AJ33" s="108">
        <f>C34*K34*N34/12*((N34*COS(RADIANS(F13)))^2+(K34*SIN(RADIANS(F13)))^2)</f>
        <v>14671022137.85546</v>
      </c>
      <c r="AK33" s="109"/>
      <c r="AL33" s="109"/>
      <c r="AM33" s="109"/>
      <c r="AN33" s="109"/>
      <c r="AO33" s="110"/>
      <c r="AU33" s="3"/>
      <c r="AV33" s="3"/>
      <c r="AW33" s="3"/>
      <c r="AX33" s="3"/>
      <c r="AY33" s="3"/>
      <c r="AZ33" s="3"/>
      <c r="BA33" s="3"/>
    </row>
    <row r="34" spans="3:53" ht="18" customHeight="1">
      <c r="C34" s="102">
        <v>1</v>
      </c>
      <c r="D34" s="103" t="s">
        <v>72</v>
      </c>
      <c r="E34" s="103" t="s">
        <v>214</v>
      </c>
      <c r="F34" s="103"/>
      <c r="G34" s="103"/>
      <c r="H34" s="103"/>
      <c r="I34" s="103"/>
      <c r="J34" s="104"/>
      <c r="K34" s="97">
        <f>AG15*1000</f>
        <v>10</v>
      </c>
      <c r="L34" s="81"/>
      <c r="M34" s="86"/>
      <c r="N34" s="97">
        <f>AG6/COS(RADIANS(X13))*1000</f>
        <v>2604.3233286210834</v>
      </c>
      <c r="O34" s="81"/>
      <c r="P34" s="86"/>
      <c r="Q34" s="105">
        <f t="shared" si="0"/>
        <v>26043.233286210834</v>
      </c>
      <c r="R34" s="106"/>
      <c r="S34" s="106"/>
      <c r="T34" s="107"/>
      <c r="U34" s="97">
        <v>0</v>
      </c>
      <c r="V34" s="98"/>
      <c r="W34" s="98"/>
      <c r="X34" s="99"/>
      <c r="Y34" s="108">
        <f t="shared" si="1"/>
        <v>0</v>
      </c>
      <c r="Z34" s="109"/>
      <c r="AA34" s="109"/>
      <c r="AB34" s="109"/>
      <c r="AC34" s="110"/>
      <c r="AD34" s="108">
        <f t="shared" si="2"/>
        <v>0</v>
      </c>
      <c r="AE34" s="109"/>
      <c r="AF34" s="109"/>
      <c r="AG34" s="109"/>
      <c r="AH34" s="109"/>
      <c r="AI34" s="110"/>
      <c r="AJ34" s="108">
        <f>C34*K34*N34/12*((N34*COS(RADIANS(X13)))^2+(K34*SIN(RADIANS(X13)))^2)</f>
        <v>14671022137.85546</v>
      </c>
      <c r="AK34" s="109"/>
      <c r="AL34" s="109"/>
      <c r="AM34" s="109"/>
      <c r="AN34" s="109"/>
      <c r="AO34" s="110"/>
      <c r="AU34" s="3"/>
      <c r="AV34" s="3"/>
      <c r="AW34" s="3"/>
      <c r="AX34" s="3"/>
      <c r="AY34" s="3"/>
      <c r="AZ34" s="3"/>
      <c r="BA34" s="3"/>
    </row>
    <row r="35" spans="3:53" ht="18" customHeight="1">
      <c r="C35" s="101">
        <v>2</v>
      </c>
      <c r="D35" s="79" t="s">
        <v>72</v>
      </c>
      <c r="E35" s="79" t="s">
        <v>75</v>
      </c>
      <c r="F35" s="79"/>
      <c r="G35" s="79"/>
      <c r="H35" s="79"/>
      <c r="I35" s="79"/>
      <c r="J35" s="80"/>
      <c r="K35" s="91">
        <f>AQ18</f>
        <v>14</v>
      </c>
      <c r="L35" s="92"/>
      <c r="M35" s="93"/>
      <c r="N35" s="91">
        <f>AN18</f>
        <v>150</v>
      </c>
      <c r="O35" s="92"/>
      <c r="P35" s="93"/>
      <c r="Q35" s="94">
        <f t="shared" si="0"/>
        <v>4200</v>
      </c>
      <c r="R35" s="95"/>
      <c r="S35" s="95"/>
      <c r="T35" s="96"/>
      <c r="U35" s="97">
        <f>(AG6*1000-N35)/2</f>
        <v>1225</v>
      </c>
      <c r="V35" s="98"/>
      <c r="W35" s="98"/>
      <c r="X35" s="99"/>
      <c r="Y35" s="108">
        <f t="shared" si="1"/>
        <v>5145000</v>
      </c>
      <c r="Z35" s="109"/>
      <c r="AA35" s="109"/>
      <c r="AB35" s="109"/>
      <c r="AC35" s="110"/>
      <c r="AD35" s="94">
        <f t="shared" si="2"/>
        <v>6302625000</v>
      </c>
      <c r="AE35" s="95"/>
      <c r="AF35" s="95"/>
      <c r="AG35" s="95"/>
      <c r="AH35" s="95"/>
      <c r="AI35" s="96"/>
      <c r="AJ35" s="94">
        <f>C35*K35*POWER(N35,3)/12</f>
        <v>7875000</v>
      </c>
      <c r="AK35" s="95"/>
      <c r="AL35" s="95"/>
      <c r="AM35" s="95"/>
      <c r="AN35" s="95"/>
      <c r="AO35" s="96"/>
      <c r="AU35" s="3"/>
      <c r="AV35" s="3"/>
      <c r="AW35" s="3"/>
      <c r="AX35" s="3"/>
      <c r="AY35" s="3"/>
      <c r="AZ35" s="3"/>
      <c r="BA35" s="3"/>
    </row>
    <row r="36" spans="3:53" ht="18" customHeight="1">
      <c r="C36" s="90">
        <v>1</v>
      </c>
      <c r="D36" s="79" t="s">
        <v>72</v>
      </c>
      <c r="E36" s="79" t="s">
        <v>76</v>
      </c>
      <c r="F36" s="79"/>
      <c r="G36" s="79"/>
      <c r="H36" s="79"/>
      <c r="I36" s="79"/>
      <c r="J36" s="80"/>
      <c r="K36" s="91">
        <f>AM12*1000</f>
        <v>2340</v>
      </c>
      <c r="L36" s="92"/>
      <c r="M36" s="93"/>
      <c r="N36" s="91">
        <f>AG14*1000</f>
        <v>12</v>
      </c>
      <c r="O36" s="92"/>
      <c r="P36" s="93"/>
      <c r="Q36" s="94">
        <f t="shared" si="0"/>
        <v>28080</v>
      </c>
      <c r="R36" s="95"/>
      <c r="S36" s="95"/>
      <c r="T36" s="96"/>
      <c r="U36" s="97">
        <f>(N36+AG6*1000)/2</f>
        <v>1306</v>
      </c>
      <c r="V36" s="98"/>
      <c r="W36" s="98"/>
      <c r="X36" s="99"/>
      <c r="Y36" s="108">
        <f t="shared" si="1"/>
        <v>36672480</v>
      </c>
      <c r="Z36" s="109"/>
      <c r="AA36" s="109"/>
      <c r="AB36" s="109"/>
      <c r="AC36" s="110"/>
      <c r="AD36" s="94">
        <f t="shared" si="2"/>
        <v>47894258880</v>
      </c>
      <c r="AE36" s="95"/>
      <c r="AF36" s="95"/>
      <c r="AG36" s="95"/>
      <c r="AH36" s="95"/>
      <c r="AI36" s="96"/>
      <c r="AJ36" s="94">
        <f>C36*K36*POWER(N36,3)/12</f>
        <v>336960</v>
      </c>
      <c r="AK36" s="95"/>
      <c r="AL36" s="95"/>
      <c r="AM36" s="95"/>
      <c r="AN36" s="95"/>
      <c r="AO36" s="96"/>
      <c r="AU36" s="3"/>
      <c r="AV36" s="3"/>
      <c r="AW36" s="3"/>
      <c r="AX36" s="3"/>
      <c r="AY36" s="3"/>
      <c r="AZ36" s="3"/>
      <c r="BA36" s="3"/>
    </row>
    <row r="37" spans="3:41" ht="18" customHeight="1">
      <c r="C37" s="111" t="s">
        <v>215</v>
      </c>
      <c r="D37" s="92"/>
      <c r="E37" s="92"/>
      <c r="F37" s="92"/>
      <c r="G37" s="92"/>
      <c r="H37" s="92"/>
      <c r="I37" s="92"/>
      <c r="J37" s="93"/>
      <c r="K37" s="78"/>
      <c r="L37" s="79"/>
      <c r="M37" s="80"/>
      <c r="N37" s="78"/>
      <c r="O37" s="79"/>
      <c r="P37" s="80"/>
      <c r="Q37" s="112">
        <f>SUM(Q31:Q36)</f>
        <v>126546.46657242166</v>
      </c>
      <c r="R37" s="113"/>
      <c r="S37" s="113"/>
      <c r="T37" s="114"/>
      <c r="U37" s="156"/>
      <c r="V37" s="157"/>
      <c r="W37" s="157"/>
      <c r="X37" s="158"/>
      <c r="Y37" s="108">
        <f>SUM(Y31:Y36)</f>
        <v>-12419100</v>
      </c>
      <c r="Z37" s="109"/>
      <c r="AA37" s="109"/>
      <c r="AB37" s="109"/>
      <c r="AC37" s="110"/>
      <c r="AD37" s="94">
        <f>SUM(AD31:AD36)</f>
        <v>123987994860</v>
      </c>
      <c r="AE37" s="95"/>
      <c r="AF37" s="95"/>
      <c r="AG37" s="95"/>
      <c r="AH37" s="95"/>
      <c r="AI37" s="96"/>
      <c r="AJ37" s="94">
        <f>SUM(AJ31:AJ36)</f>
        <v>29370323895.71092</v>
      </c>
      <c r="AK37" s="95"/>
      <c r="AL37" s="95"/>
      <c r="AM37" s="95"/>
      <c r="AN37" s="95"/>
      <c r="AO37" s="96"/>
    </row>
    <row r="38" spans="7:20" ht="18" customHeight="1">
      <c r="G38" s="118"/>
      <c r="H38" s="118"/>
      <c r="I38" s="118"/>
      <c r="J38" s="118"/>
      <c r="K38" s="3"/>
      <c r="P38" s="119"/>
      <c r="Q38" s="119"/>
      <c r="R38" s="119"/>
      <c r="S38" s="119"/>
      <c r="T38" s="3"/>
    </row>
    <row r="39" spans="7:20" ht="18" customHeight="1">
      <c r="G39" s="118"/>
      <c r="H39" s="118"/>
      <c r="I39" s="118"/>
      <c r="J39" s="118"/>
      <c r="K39" s="3"/>
      <c r="P39" s="119"/>
      <c r="Q39" s="119"/>
      <c r="R39" s="119"/>
      <c r="S39" s="119"/>
      <c r="T39" s="3"/>
    </row>
    <row r="40" ht="18" customHeight="1">
      <c r="A40" s="120" t="s">
        <v>216</v>
      </c>
    </row>
    <row r="51" ht="18" customHeight="1">
      <c r="B51" s="53" t="s">
        <v>217</v>
      </c>
    </row>
    <row r="52" spans="3:32" ht="18" customHeight="1">
      <c r="C52" s="53" t="s">
        <v>77</v>
      </c>
      <c r="L52" s="121">
        <f>AD37</f>
        <v>123987994860</v>
      </c>
      <c r="M52" s="121"/>
      <c r="N52" s="121"/>
      <c r="O52" s="121"/>
      <c r="P52" s="121"/>
      <c r="Q52" s="53" t="s">
        <v>78</v>
      </c>
      <c r="R52" s="122">
        <f>AJ37</f>
        <v>29370323895.71092</v>
      </c>
      <c r="S52" s="122"/>
      <c r="T52" s="122"/>
      <c r="U52" s="122"/>
      <c r="V52" s="122"/>
      <c r="W52" s="122"/>
      <c r="X52" s="122"/>
      <c r="Y52" s="53" t="s">
        <v>79</v>
      </c>
      <c r="Z52" s="121">
        <f>L52+R52</f>
        <v>153358318755.7109</v>
      </c>
      <c r="AA52" s="121"/>
      <c r="AB52" s="121"/>
      <c r="AC52" s="121"/>
      <c r="AD52" s="121"/>
      <c r="AE52" s="121"/>
      <c r="AF52" s="1" t="s">
        <v>218</v>
      </c>
    </row>
    <row r="53" spans="3:30" ht="18" customHeight="1">
      <c r="C53" s="53" t="s">
        <v>80</v>
      </c>
      <c r="L53" s="121">
        <f>Y37</f>
        <v>-12419100</v>
      </c>
      <c r="M53" s="121"/>
      <c r="N53" s="121"/>
      <c r="O53" s="121"/>
      <c r="P53" s="121"/>
      <c r="Q53" s="53" t="s">
        <v>81</v>
      </c>
      <c r="R53" s="121">
        <f>Q37</f>
        <v>126546.46657242166</v>
      </c>
      <c r="S53" s="121"/>
      <c r="T53" s="121"/>
      <c r="U53" s="121"/>
      <c r="V53" s="121"/>
      <c r="W53" s="53" t="s">
        <v>79</v>
      </c>
      <c r="X53" s="123">
        <f>L53/R53</f>
        <v>-98.13865480702802</v>
      </c>
      <c r="Y53" s="123"/>
      <c r="Z53" s="123"/>
      <c r="AA53" s="123"/>
      <c r="AB53" s="123"/>
      <c r="AC53" s="123"/>
      <c r="AD53" s="2" t="s">
        <v>219</v>
      </c>
    </row>
    <row r="54" spans="1:40" ht="18" customHeight="1">
      <c r="A54" s="3"/>
      <c r="B54" s="3"/>
      <c r="C54" s="3" t="s">
        <v>82</v>
      </c>
      <c r="D54" s="3"/>
      <c r="E54" s="3"/>
      <c r="F54" s="3"/>
      <c r="G54" s="3"/>
      <c r="H54" s="3"/>
      <c r="I54" s="3"/>
      <c r="J54" s="3"/>
      <c r="K54" s="3"/>
      <c r="L54" s="124">
        <f>Z52</f>
        <v>153358318755.7109</v>
      </c>
      <c r="M54" s="124"/>
      <c r="N54" s="124"/>
      <c r="O54" s="124"/>
      <c r="P54" s="124"/>
      <c r="Q54" s="3" t="s">
        <v>72</v>
      </c>
      <c r="R54" s="124">
        <f>Q37</f>
        <v>126546.46657242166</v>
      </c>
      <c r="S54" s="124"/>
      <c r="T54" s="124"/>
      <c r="U54" s="124"/>
      <c r="V54" s="124"/>
      <c r="W54" s="3" t="s">
        <v>83</v>
      </c>
      <c r="X54" s="125">
        <f>X53</f>
        <v>-98.13865480702802</v>
      </c>
      <c r="Y54" s="33"/>
      <c r="Z54" s="33"/>
      <c r="AA54" s="33"/>
      <c r="AB54" s="33"/>
      <c r="AC54" s="3" t="s">
        <v>79</v>
      </c>
      <c r="AD54" s="124">
        <f>L54-R54*X54^2</f>
        <v>152139524987.79694</v>
      </c>
      <c r="AE54" s="124"/>
      <c r="AF54" s="124"/>
      <c r="AG54" s="124"/>
      <c r="AH54" s="124"/>
      <c r="AI54" s="124"/>
      <c r="AJ54" s="1" t="s">
        <v>218</v>
      </c>
      <c r="AK54" s="3"/>
      <c r="AL54" s="3"/>
      <c r="AM54" s="3"/>
      <c r="AN54" s="3"/>
    </row>
    <row r="55" spans="1:40" ht="18" customHeight="1">
      <c r="A55" s="3"/>
      <c r="B55" s="3"/>
      <c r="C55" s="3" t="s">
        <v>220</v>
      </c>
      <c r="D55" s="3"/>
      <c r="E55" s="3"/>
      <c r="F55" s="3"/>
      <c r="G55" s="3"/>
      <c r="H55" s="3"/>
      <c r="I55" s="3"/>
      <c r="J55" s="3"/>
      <c r="K55" s="3"/>
      <c r="L55" s="3"/>
      <c r="M55" s="126">
        <f>-AG6*1000</f>
        <v>-2600</v>
      </c>
      <c r="N55" s="33"/>
      <c r="O55" s="33"/>
      <c r="P55" s="33"/>
      <c r="Q55" s="3" t="s">
        <v>84</v>
      </c>
      <c r="R55" s="3"/>
      <c r="S55" s="3"/>
      <c r="T55" s="3" t="s">
        <v>221</v>
      </c>
      <c r="U55" s="126">
        <f>N31</f>
        <v>12</v>
      </c>
      <c r="V55" s="33"/>
      <c r="W55" s="3" t="s">
        <v>72</v>
      </c>
      <c r="X55" s="33">
        <f>X54</f>
        <v>-98.13865480702802</v>
      </c>
      <c r="Y55" s="33"/>
      <c r="Z55" s="33"/>
      <c r="AA55" s="33"/>
      <c r="AB55" s="33"/>
      <c r="AC55" s="3" t="s">
        <v>79</v>
      </c>
      <c r="AD55" s="33">
        <f>M55/2-U55-X55</f>
        <v>-1213.861345192972</v>
      </c>
      <c r="AE55" s="33"/>
      <c r="AF55" s="33"/>
      <c r="AG55" s="33"/>
      <c r="AH55" s="33"/>
      <c r="AI55" s="33"/>
      <c r="AJ55" s="2" t="s">
        <v>219</v>
      </c>
      <c r="AK55" s="3"/>
      <c r="AL55" s="3"/>
      <c r="AM55" s="3"/>
      <c r="AN55" s="3"/>
    </row>
    <row r="56" spans="1:40" ht="18" customHeight="1">
      <c r="A56" s="3"/>
      <c r="B56" s="3"/>
      <c r="C56" s="3" t="s">
        <v>222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3">
        <f>AD55</f>
        <v>-1213.861345192972</v>
      </c>
      <c r="Q56" s="33"/>
      <c r="R56" s="33"/>
      <c r="S56" s="33"/>
      <c r="T56" s="33"/>
      <c r="U56" s="3" t="s">
        <v>223</v>
      </c>
      <c r="V56" s="33">
        <f>(AG6+AG13+AG14)*1000</f>
        <v>2624</v>
      </c>
      <c r="W56" s="33"/>
      <c r="X56" s="33"/>
      <c r="Y56" s="33"/>
      <c r="Z56" s="3" t="s">
        <v>79</v>
      </c>
      <c r="AA56" s="33">
        <f>P56+V56</f>
        <v>1410.138654807028</v>
      </c>
      <c r="AB56" s="33"/>
      <c r="AC56" s="33"/>
      <c r="AD56" s="33"/>
      <c r="AE56" s="33"/>
      <c r="AF56" s="2" t="s">
        <v>219</v>
      </c>
      <c r="AG56" s="3"/>
      <c r="AH56" s="3"/>
      <c r="AI56" s="3"/>
      <c r="AJ56" s="3"/>
      <c r="AK56" s="3"/>
      <c r="AL56" s="3"/>
      <c r="AM56" s="3"/>
      <c r="AN56" s="3"/>
    </row>
    <row r="57" spans="1:45" ht="18" customHeight="1">
      <c r="A57" s="3"/>
      <c r="B57" s="3"/>
      <c r="C57" s="3" t="s">
        <v>224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 t="s">
        <v>225</v>
      </c>
      <c r="AB57" s="126">
        <f>((AG7+AM7+AG8)/2+AG15)*(AG6+AG13/2+AG14/2)*1000000</f>
        <v>5903119.999999998</v>
      </c>
      <c r="AC57" s="126"/>
      <c r="AD57" s="126"/>
      <c r="AE57" s="126"/>
      <c r="AF57" s="126"/>
      <c r="AG57" s="3" t="s">
        <v>226</v>
      </c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</row>
    <row r="58" spans="1:45" ht="18" customHeight="1">
      <c r="A58" s="3"/>
      <c r="B58" s="3"/>
      <c r="C58" s="3" t="s">
        <v>227</v>
      </c>
      <c r="D58" s="3"/>
      <c r="E58" s="3"/>
      <c r="F58" s="3"/>
      <c r="G58" s="3"/>
      <c r="H58" s="3"/>
      <c r="I58" s="3"/>
      <c r="J58" s="3"/>
      <c r="K58" s="3"/>
      <c r="L58" s="3"/>
      <c r="M58" s="33">
        <f>AG22*1000000*P56/AD54</f>
        <v>27.406839145760834</v>
      </c>
      <c r="N58" s="33"/>
      <c r="O58" s="33"/>
      <c r="P58" s="33"/>
      <c r="Q58" s="33"/>
      <c r="R58" s="3" t="s">
        <v>101</v>
      </c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</row>
    <row r="59" spans="1:45" ht="18" customHeight="1">
      <c r="A59" s="3"/>
      <c r="B59" s="3"/>
      <c r="C59" s="3" t="s">
        <v>228</v>
      </c>
      <c r="D59" s="3"/>
      <c r="E59" s="3"/>
      <c r="F59" s="3"/>
      <c r="G59" s="3"/>
      <c r="H59" s="3"/>
      <c r="I59" s="3"/>
      <c r="J59" s="3"/>
      <c r="K59" s="3"/>
      <c r="L59" s="3"/>
      <c r="M59" s="33">
        <f>AG22*1000000*AA56/AD54</f>
        <v>-31.83843314441474</v>
      </c>
      <c r="N59" s="33"/>
      <c r="O59" s="33"/>
      <c r="P59" s="33"/>
      <c r="Q59" s="33"/>
      <c r="R59" s="3" t="s">
        <v>101</v>
      </c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</row>
    <row r="60" spans="1:45" ht="18" customHeight="1">
      <c r="A60" s="3"/>
      <c r="B60" s="3"/>
      <c r="C60" s="3" t="s">
        <v>229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3">
        <f>ABS(AG24)*1000/(Q33+Q34)+ABS(AG26)*1000000/(2*AB57*AG15*1000)</f>
        <v>20.749280304940946</v>
      </c>
      <c r="T60" s="33"/>
      <c r="U60" s="33"/>
      <c r="V60" s="33"/>
      <c r="W60" s="33"/>
      <c r="X60" s="3" t="s">
        <v>101</v>
      </c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</row>
    <row r="61" spans="1:45" ht="18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</row>
    <row r="62" spans="1:45" ht="18" customHeight="1">
      <c r="A62" s="3"/>
      <c r="B62" s="3" t="s">
        <v>230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</row>
    <row r="63" spans="1:46" ht="18" customHeight="1">
      <c r="A63" s="3"/>
      <c r="B63" s="3"/>
      <c r="C63" s="3" t="s">
        <v>105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3">
        <f>AG23*1000000/AD54*AD55</f>
        <v>22.82015390961927</v>
      </c>
      <c r="O63" s="33"/>
      <c r="P63" s="33"/>
      <c r="Q63" s="33"/>
      <c r="R63" s="33"/>
      <c r="S63" s="3" t="s">
        <v>101</v>
      </c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61"/>
    </row>
    <row r="64" spans="1:45" ht="18" customHeight="1">
      <c r="A64" s="3"/>
      <c r="B64" s="3"/>
      <c r="C64" s="3" t="s">
        <v>106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33">
        <f>AG23*1000000/AD54*AA56</f>
        <v>-26.510096284089308</v>
      </c>
      <c r="O64" s="33"/>
      <c r="P64" s="33"/>
      <c r="Q64" s="33"/>
      <c r="R64" s="33"/>
      <c r="S64" s="3" t="s">
        <v>101</v>
      </c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</row>
    <row r="65" spans="1:45" ht="18" customHeight="1">
      <c r="A65" s="3"/>
      <c r="B65" s="3"/>
      <c r="C65" s="3" t="s">
        <v>107</v>
      </c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3">
        <f>ABS(AG25)*1000/(Q33+Q34)+ABS(AG27)*100000/(2*AB57*AG15*100)</f>
        <v>12.721628133613372</v>
      </c>
      <c r="T65" s="33"/>
      <c r="U65" s="33"/>
      <c r="V65" s="33"/>
      <c r="W65" s="33"/>
      <c r="X65" s="3" t="s">
        <v>101</v>
      </c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</row>
    <row r="66" spans="1:45" ht="18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</row>
    <row r="67" spans="1:54" ht="18" customHeight="1">
      <c r="A67" s="3"/>
      <c r="B67" s="3" t="s">
        <v>231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U67" s="4" t="s">
        <v>232</v>
      </c>
      <c r="AV67" s="4"/>
      <c r="AW67" s="4"/>
      <c r="AX67" s="4"/>
      <c r="AY67" s="4"/>
      <c r="AZ67" s="4"/>
      <c r="BA67" s="4"/>
      <c r="BB67" s="4"/>
    </row>
    <row r="68" spans="1:88" ht="18" customHeight="1">
      <c r="A68" s="3"/>
      <c r="B68" s="3"/>
      <c r="C68" s="3" t="s">
        <v>108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3">
        <f>ABS((AG24+AG25)*1000/(Q33+Q34))+ABS((AG26+AG27)/(2*AB57*AG15*1000))*1000000</f>
        <v>33.47090843855432</v>
      </c>
      <c r="AA68" s="33"/>
      <c r="AB68" s="33"/>
      <c r="AC68" s="33"/>
      <c r="AD68" s="3" t="s">
        <v>101</v>
      </c>
      <c r="AE68" s="3"/>
      <c r="AF68" s="3" t="s">
        <v>86</v>
      </c>
      <c r="AG68" s="3" t="s">
        <v>87</v>
      </c>
      <c r="AH68" s="3"/>
      <c r="AI68" s="3"/>
      <c r="AJ68" s="127">
        <f>HLOOKUP(AG4,AX68:CJ71,AU68,FALSE)</f>
        <v>120</v>
      </c>
      <c r="AK68" s="33"/>
      <c r="AL68" s="33"/>
      <c r="AM68" s="3" t="s">
        <v>101</v>
      </c>
      <c r="AN68" s="3"/>
      <c r="AO68" s="3"/>
      <c r="AP68" s="3" t="str">
        <f>IF(Z68&lt;AJ68,"O.K.","N.G.")</f>
        <v>O.K.</v>
      </c>
      <c r="AQ68" s="3"/>
      <c r="AR68" s="3"/>
      <c r="AS68" s="3"/>
      <c r="AU68" s="128">
        <f>IF(AG15&lt;=0.04,2,IF(AG15&lt;=0.075,3,4))</f>
        <v>2</v>
      </c>
      <c r="AV68" s="129"/>
      <c r="AW68" s="130"/>
      <c r="AX68" s="25" t="s">
        <v>233</v>
      </c>
      <c r="AY68" s="26"/>
      <c r="AZ68" s="27"/>
      <c r="BA68" s="25" t="s">
        <v>234</v>
      </c>
      <c r="BB68" s="26"/>
      <c r="BC68" s="27"/>
      <c r="BD68" s="25" t="s">
        <v>235</v>
      </c>
      <c r="BE68" s="26"/>
      <c r="BF68" s="27"/>
      <c r="BG68" s="25" t="s">
        <v>236</v>
      </c>
      <c r="BH68" s="26"/>
      <c r="BI68" s="27"/>
      <c r="BJ68" s="25" t="s">
        <v>88</v>
      </c>
      <c r="BK68" s="26"/>
      <c r="BL68" s="27"/>
      <c r="BM68" s="131" t="s">
        <v>237</v>
      </c>
      <c r="BN68" s="132"/>
      <c r="BO68" s="133"/>
      <c r="BP68" s="25" t="s">
        <v>238</v>
      </c>
      <c r="BQ68" s="26"/>
      <c r="BR68" s="27"/>
      <c r="BS68" s="25" t="s">
        <v>239</v>
      </c>
      <c r="BT68" s="26"/>
      <c r="BU68" s="27"/>
      <c r="BV68" s="25" t="s">
        <v>177</v>
      </c>
      <c r="BW68" s="26"/>
      <c r="BX68" s="27"/>
      <c r="BY68" s="131" t="s">
        <v>240</v>
      </c>
      <c r="BZ68" s="132"/>
      <c r="CA68" s="133"/>
      <c r="CB68" s="25" t="s">
        <v>241</v>
      </c>
      <c r="CC68" s="26"/>
      <c r="CD68" s="27"/>
      <c r="CE68" s="25" t="s">
        <v>242</v>
      </c>
      <c r="CF68" s="26"/>
      <c r="CG68" s="27"/>
      <c r="CH68" s="131" t="s">
        <v>243</v>
      </c>
      <c r="CI68" s="132"/>
      <c r="CJ68" s="133"/>
    </row>
    <row r="69" spans="1:88" ht="18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U69" s="19">
        <v>40</v>
      </c>
      <c r="AV69" s="20"/>
      <c r="AW69" s="21"/>
      <c r="AX69" s="19">
        <v>80</v>
      </c>
      <c r="AY69" s="20"/>
      <c r="AZ69" s="21"/>
      <c r="BA69" s="19">
        <f>AX69</f>
        <v>80</v>
      </c>
      <c r="BB69" s="20"/>
      <c r="BC69" s="21"/>
      <c r="BD69" s="19">
        <f>AX69</f>
        <v>80</v>
      </c>
      <c r="BE69" s="20"/>
      <c r="BF69" s="21"/>
      <c r="BG69" s="19">
        <v>80</v>
      </c>
      <c r="BH69" s="20"/>
      <c r="BI69" s="21"/>
      <c r="BJ69" s="19">
        <v>105</v>
      </c>
      <c r="BK69" s="20"/>
      <c r="BL69" s="21"/>
      <c r="BM69" s="19">
        <v>105</v>
      </c>
      <c r="BN69" s="20"/>
      <c r="BO69" s="21"/>
      <c r="BP69" s="19">
        <v>120</v>
      </c>
      <c r="BQ69" s="20"/>
      <c r="BR69" s="21"/>
      <c r="BS69" s="19">
        <f>BP69</f>
        <v>120</v>
      </c>
      <c r="BT69" s="20"/>
      <c r="BU69" s="21"/>
      <c r="BV69" s="19">
        <f>BP69</f>
        <v>120</v>
      </c>
      <c r="BW69" s="20"/>
      <c r="BX69" s="21"/>
      <c r="BY69" s="19">
        <v>120</v>
      </c>
      <c r="BZ69" s="20"/>
      <c r="CA69" s="21"/>
      <c r="CB69" s="19">
        <v>145</v>
      </c>
      <c r="CC69" s="20"/>
      <c r="CD69" s="21"/>
      <c r="CE69" s="19">
        <f>CB69</f>
        <v>145</v>
      </c>
      <c r="CF69" s="20"/>
      <c r="CG69" s="21"/>
      <c r="CH69" s="19">
        <v>145</v>
      </c>
      <c r="CI69" s="20"/>
      <c r="CJ69" s="21"/>
    </row>
    <row r="70" spans="1:88" ht="18" customHeight="1">
      <c r="A70" s="3"/>
      <c r="B70" s="3" t="s">
        <v>244</v>
      </c>
      <c r="C70" s="3"/>
      <c r="D70" s="3"/>
      <c r="E70" s="3"/>
      <c r="F70" s="3"/>
      <c r="G70" s="3"/>
      <c r="H70" s="3"/>
      <c r="I70" s="3"/>
      <c r="J70" s="3"/>
      <c r="K70" s="134"/>
      <c r="L70" s="3"/>
      <c r="M70" s="3"/>
      <c r="N70" s="3"/>
      <c r="O70" s="3"/>
      <c r="P70" s="3"/>
      <c r="Q70" s="3"/>
      <c r="R70" s="3"/>
      <c r="S70" s="3"/>
      <c r="T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U70" s="135" t="s">
        <v>245</v>
      </c>
      <c r="AV70" s="136"/>
      <c r="AW70" s="137"/>
      <c r="AX70" s="19">
        <v>75</v>
      </c>
      <c r="AY70" s="20"/>
      <c r="AZ70" s="21"/>
      <c r="BA70" s="19">
        <f>AX70</f>
        <v>75</v>
      </c>
      <c r="BB70" s="20"/>
      <c r="BC70" s="21"/>
      <c r="BD70" s="19">
        <f>AX70</f>
        <v>75</v>
      </c>
      <c r="BE70" s="20"/>
      <c r="BF70" s="21"/>
      <c r="BG70" s="19">
        <v>80</v>
      </c>
      <c r="BH70" s="20"/>
      <c r="BI70" s="21"/>
      <c r="BJ70" s="19">
        <v>100</v>
      </c>
      <c r="BK70" s="20"/>
      <c r="BL70" s="21"/>
      <c r="BM70" s="19">
        <v>105</v>
      </c>
      <c r="BN70" s="20"/>
      <c r="BO70" s="21"/>
      <c r="BP70" s="19">
        <v>115</v>
      </c>
      <c r="BQ70" s="20"/>
      <c r="BR70" s="21"/>
      <c r="BS70" s="19">
        <f>BP70</f>
        <v>115</v>
      </c>
      <c r="BT70" s="20"/>
      <c r="BU70" s="21"/>
      <c r="BV70" s="19">
        <f>BP70</f>
        <v>115</v>
      </c>
      <c r="BW70" s="20"/>
      <c r="BX70" s="21"/>
      <c r="BY70" s="19">
        <v>120</v>
      </c>
      <c r="BZ70" s="20"/>
      <c r="CA70" s="21"/>
      <c r="CB70" s="19">
        <v>140</v>
      </c>
      <c r="CC70" s="20"/>
      <c r="CD70" s="21"/>
      <c r="CE70" s="19">
        <f>CB70</f>
        <v>140</v>
      </c>
      <c r="CF70" s="20"/>
      <c r="CG70" s="21"/>
      <c r="CH70" s="19">
        <v>145</v>
      </c>
      <c r="CI70" s="20"/>
      <c r="CJ70" s="21"/>
    </row>
    <row r="71" spans="1:88" ht="18" customHeight="1">
      <c r="A71" s="3"/>
      <c r="B71" s="3"/>
      <c r="C71" s="3" t="s">
        <v>246</v>
      </c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U71" s="135" t="s">
        <v>247</v>
      </c>
      <c r="AV71" s="136"/>
      <c r="AW71" s="137"/>
      <c r="AX71" s="19">
        <v>75</v>
      </c>
      <c r="AY71" s="20"/>
      <c r="AZ71" s="21"/>
      <c r="BA71" s="19">
        <f>AX71</f>
        <v>75</v>
      </c>
      <c r="BB71" s="20"/>
      <c r="BC71" s="21"/>
      <c r="BD71" s="19">
        <f>AX71</f>
        <v>75</v>
      </c>
      <c r="BE71" s="20"/>
      <c r="BF71" s="21"/>
      <c r="BG71" s="19">
        <v>80</v>
      </c>
      <c r="BH71" s="20"/>
      <c r="BI71" s="21"/>
      <c r="BJ71" s="19">
        <v>100</v>
      </c>
      <c r="BK71" s="20"/>
      <c r="BL71" s="21"/>
      <c r="BM71" s="19">
        <v>105</v>
      </c>
      <c r="BN71" s="20"/>
      <c r="BO71" s="21"/>
      <c r="BP71" s="19">
        <v>110</v>
      </c>
      <c r="BQ71" s="20"/>
      <c r="BR71" s="21"/>
      <c r="BS71" s="19">
        <f>BP71</f>
        <v>110</v>
      </c>
      <c r="BT71" s="20"/>
      <c r="BU71" s="21"/>
      <c r="BV71" s="19">
        <f>BP71</f>
        <v>110</v>
      </c>
      <c r="BW71" s="20"/>
      <c r="BX71" s="21"/>
      <c r="BY71" s="19">
        <v>120</v>
      </c>
      <c r="BZ71" s="20"/>
      <c r="CA71" s="21"/>
      <c r="CB71" s="19">
        <v>135</v>
      </c>
      <c r="CC71" s="20"/>
      <c r="CD71" s="21"/>
      <c r="CE71" s="19">
        <f>CB71</f>
        <v>135</v>
      </c>
      <c r="CF71" s="20"/>
      <c r="CG71" s="21"/>
      <c r="CH71" s="19">
        <v>145</v>
      </c>
      <c r="CI71" s="20"/>
      <c r="CJ71" s="21"/>
    </row>
    <row r="72" spans="1:57" ht="18" customHeight="1">
      <c r="A72" s="3"/>
      <c r="B72" s="3"/>
      <c r="C72" s="3"/>
      <c r="D72" s="3" t="s">
        <v>79</v>
      </c>
      <c r="E72" s="33">
        <v>0.65</v>
      </c>
      <c r="F72" s="33"/>
      <c r="G72" s="33"/>
      <c r="H72" s="3" t="s">
        <v>83</v>
      </c>
      <c r="I72" s="3" t="s">
        <v>85</v>
      </c>
      <c r="J72" s="126">
        <v>0</v>
      </c>
      <c r="K72" s="33"/>
      <c r="L72" s="3" t="s">
        <v>81</v>
      </c>
      <c r="M72" s="127">
        <f>C32+1</f>
        <v>6</v>
      </c>
      <c r="N72" s="33"/>
      <c r="O72" s="3" t="s">
        <v>248</v>
      </c>
      <c r="P72" s="3" t="s">
        <v>78</v>
      </c>
      <c r="Q72" s="33">
        <v>0.13</v>
      </c>
      <c r="R72" s="33"/>
      <c r="S72" s="33"/>
      <c r="T72" s="3" t="s">
        <v>83</v>
      </c>
      <c r="U72" s="3" t="s">
        <v>85</v>
      </c>
      <c r="V72" s="126">
        <v>0</v>
      </c>
      <c r="W72" s="33"/>
      <c r="X72" s="3" t="s">
        <v>81</v>
      </c>
      <c r="Y72" s="127">
        <f>M72</f>
        <v>6</v>
      </c>
      <c r="Z72" s="33"/>
      <c r="AA72" s="3" t="s">
        <v>89</v>
      </c>
      <c r="AB72" s="3" t="s">
        <v>78</v>
      </c>
      <c r="AC72" s="126">
        <v>1</v>
      </c>
      <c r="AD72" s="33"/>
      <c r="AE72" s="3" t="s">
        <v>79</v>
      </c>
      <c r="AF72" s="33">
        <v>1</v>
      </c>
      <c r="AG72" s="33"/>
      <c r="AH72" s="33"/>
      <c r="AI72" s="33"/>
      <c r="AJ72" s="3"/>
      <c r="AK72" s="3"/>
      <c r="AL72" s="3"/>
      <c r="AM72" s="3"/>
      <c r="AN72" s="3"/>
      <c r="AO72" s="3"/>
      <c r="AP72" s="3"/>
      <c r="AQ72" s="3"/>
      <c r="AR72" s="3"/>
      <c r="AS72" s="3"/>
      <c r="AU72" s="5" t="s">
        <v>249</v>
      </c>
      <c r="AV72" s="5"/>
      <c r="AW72" s="5"/>
      <c r="AX72" s="5"/>
      <c r="AY72" s="5"/>
      <c r="AZ72" s="5"/>
      <c r="BA72" s="5"/>
      <c r="BB72" s="5"/>
      <c r="BC72" s="5"/>
      <c r="BD72" s="5"/>
      <c r="BE72" s="5"/>
    </row>
    <row r="73" spans="1:88" ht="18" customHeight="1">
      <c r="A73" s="3"/>
      <c r="B73" s="3"/>
      <c r="C73" s="3"/>
      <c r="D73" s="3" t="s">
        <v>250</v>
      </c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138"/>
      <c r="AU73" s="19">
        <f>IF(AG14&lt;=0.04,2,IF(AG14&lt;=0.075,3,4))</f>
        <v>2</v>
      </c>
      <c r="AV73" s="20"/>
      <c r="AW73" s="21"/>
      <c r="AX73" s="25" t="s">
        <v>233</v>
      </c>
      <c r="AY73" s="26"/>
      <c r="AZ73" s="27"/>
      <c r="BA73" s="25" t="s">
        <v>234</v>
      </c>
      <c r="BB73" s="26"/>
      <c r="BC73" s="27"/>
      <c r="BD73" s="25" t="s">
        <v>235</v>
      </c>
      <c r="BE73" s="26"/>
      <c r="BF73" s="27"/>
      <c r="BG73" s="25" t="s">
        <v>236</v>
      </c>
      <c r="BH73" s="26"/>
      <c r="BI73" s="27"/>
      <c r="BJ73" s="25" t="s">
        <v>88</v>
      </c>
      <c r="BK73" s="26"/>
      <c r="BL73" s="27"/>
      <c r="BM73" s="131" t="s">
        <v>237</v>
      </c>
      <c r="BN73" s="132"/>
      <c r="BO73" s="133"/>
      <c r="BP73" s="25" t="s">
        <v>238</v>
      </c>
      <c r="BQ73" s="26"/>
      <c r="BR73" s="27"/>
      <c r="BS73" s="25" t="s">
        <v>239</v>
      </c>
      <c r="BT73" s="26"/>
      <c r="BU73" s="27"/>
      <c r="BV73" s="25" t="s">
        <v>177</v>
      </c>
      <c r="BW73" s="26"/>
      <c r="BX73" s="27"/>
      <c r="BY73" s="131" t="s">
        <v>240</v>
      </c>
      <c r="BZ73" s="132"/>
      <c r="CA73" s="133"/>
      <c r="CB73" s="25" t="s">
        <v>241</v>
      </c>
      <c r="CC73" s="26"/>
      <c r="CD73" s="27"/>
      <c r="CE73" s="25" t="s">
        <v>242</v>
      </c>
      <c r="CF73" s="26"/>
      <c r="CG73" s="27"/>
      <c r="CH73" s="131" t="s">
        <v>243</v>
      </c>
      <c r="CI73" s="132"/>
      <c r="CJ73" s="133"/>
    </row>
    <row r="74" spans="1:88" ht="18" customHeight="1">
      <c r="A74" s="3"/>
      <c r="B74" s="3"/>
      <c r="C74" s="3"/>
      <c r="D74" s="3" t="s">
        <v>251</v>
      </c>
      <c r="E74" s="3"/>
      <c r="F74" s="3"/>
      <c r="G74" s="3"/>
      <c r="H74" s="3" t="s">
        <v>252</v>
      </c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138"/>
      <c r="AU74" s="19">
        <v>40</v>
      </c>
      <c r="AV74" s="20"/>
      <c r="AW74" s="21"/>
      <c r="AX74" s="19">
        <v>140</v>
      </c>
      <c r="AY74" s="20"/>
      <c r="AZ74" s="21"/>
      <c r="BA74" s="19">
        <f>AX74</f>
        <v>140</v>
      </c>
      <c r="BB74" s="20"/>
      <c r="BC74" s="21"/>
      <c r="BD74" s="19">
        <f>AX74</f>
        <v>140</v>
      </c>
      <c r="BE74" s="20"/>
      <c r="BF74" s="21"/>
      <c r="BG74" s="19">
        <v>140</v>
      </c>
      <c r="BH74" s="20"/>
      <c r="BI74" s="21"/>
      <c r="BJ74" s="19">
        <v>185</v>
      </c>
      <c r="BK74" s="20"/>
      <c r="BL74" s="21"/>
      <c r="BM74" s="19">
        <f>BJ74</f>
        <v>185</v>
      </c>
      <c r="BN74" s="20"/>
      <c r="BO74" s="21"/>
      <c r="BP74" s="19">
        <v>210</v>
      </c>
      <c r="BQ74" s="20"/>
      <c r="BR74" s="21"/>
      <c r="BS74" s="19">
        <f>BP74</f>
        <v>210</v>
      </c>
      <c r="BT74" s="20"/>
      <c r="BU74" s="21"/>
      <c r="BV74" s="19">
        <f>BP74</f>
        <v>210</v>
      </c>
      <c r="BW74" s="20"/>
      <c r="BX74" s="21"/>
      <c r="BY74" s="19">
        <v>210</v>
      </c>
      <c r="BZ74" s="20"/>
      <c r="CA74" s="21"/>
      <c r="CB74" s="19">
        <v>255</v>
      </c>
      <c r="CC74" s="20"/>
      <c r="CD74" s="21"/>
      <c r="CE74" s="19">
        <f>CB74</f>
        <v>255</v>
      </c>
      <c r="CF74" s="20"/>
      <c r="CG74" s="21"/>
      <c r="CH74" s="19">
        <f>CE74</f>
        <v>255</v>
      </c>
      <c r="CI74" s="20"/>
      <c r="CJ74" s="21"/>
    </row>
    <row r="75" spans="1:88" ht="18" customHeight="1">
      <c r="A75" s="3"/>
      <c r="B75" s="3"/>
      <c r="C75" s="3"/>
      <c r="D75" s="3"/>
      <c r="E75" s="3"/>
      <c r="F75" s="3"/>
      <c r="G75" s="3"/>
      <c r="H75" s="3" t="s">
        <v>253</v>
      </c>
      <c r="I75" s="3"/>
      <c r="J75" s="3"/>
      <c r="K75" s="3"/>
      <c r="L75" s="3"/>
      <c r="M75" s="3"/>
      <c r="N75" s="3"/>
      <c r="O75" s="3"/>
      <c r="P75" s="3"/>
      <c r="Q75" s="3" t="s">
        <v>254</v>
      </c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138"/>
      <c r="AU75" s="135" t="s">
        <v>245</v>
      </c>
      <c r="AV75" s="136"/>
      <c r="AW75" s="137"/>
      <c r="AX75" s="19">
        <v>125</v>
      </c>
      <c r="AY75" s="20"/>
      <c r="AZ75" s="21"/>
      <c r="BA75" s="19">
        <f>AX75</f>
        <v>125</v>
      </c>
      <c r="BB75" s="20"/>
      <c r="BC75" s="21"/>
      <c r="BD75" s="19">
        <f>AX75</f>
        <v>125</v>
      </c>
      <c r="BE75" s="20"/>
      <c r="BF75" s="21"/>
      <c r="BG75" s="19">
        <v>140</v>
      </c>
      <c r="BH75" s="20"/>
      <c r="BI75" s="21"/>
      <c r="BJ75" s="19">
        <v>175</v>
      </c>
      <c r="BK75" s="20"/>
      <c r="BL75" s="21"/>
      <c r="BM75" s="19">
        <f>BM74</f>
        <v>185</v>
      </c>
      <c r="BN75" s="20"/>
      <c r="BO75" s="21"/>
      <c r="BP75" s="19">
        <v>195</v>
      </c>
      <c r="BQ75" s="20"/>
      <c r="BR75" s="21"/>
      <c r="BS75" s="19">
        <f>BP75</f>
        <v>195</v>
      </c>
      <c r="BT75" s="20"/>
      <c r="BU75" s="21"/>
      <c r="BV75" s="19">
        <f>BP75</f>
        <v>195</v>
      </c>
      <c r="BW75" s="20"/>
      <c r="BX75" s="21"/>
      <c r="BY75" s="19">
        <v>210</v>
      </c>
      <c r="BZ75" s="20"/>
      <c r="CA75" s="21"/>
      <c r="CB75" s="19">
        <v>245</v>
      </c>
      <c r="CC75" s="20"/>
      <c r="CD75" s="21"/>
      <c r="CE75" s="19">
        <f>CB75</f>
        <v>245</v>
      </c>
      <c r="CF75" s="20"/>
      <c r="CG75" s="21"/>
      <c r="CH75" s="19">
        <f>CH74</f>
        <v>255</v>
      </c>
      <c r="CI75" s="20"/>
      <c r="CJ75" s="21"/>
    </row>
    <row r="76" spans="1:88" ht="18" customHeight="1">
      <c r="A76" s="3"/>
      <c r="B76" s="3"/>
      <c r="C76" s="3"/>
      <c r="D76" s="3"/>
      <c r="E76" s="3"/>
      <c r="F76" s="3"/>
      <c r="G76" s="3"/>
      <c r="H76" s="3" t="s">
        <v>255</v>
      </c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U76" s="135" t="s">
        <v>247</v>
      </c>
      <c r="AV76" s="136"/>
      <c r="AW76" s="137"/>
      <c r="AX76" s="19">
        <v>125</v>
      </c>
      <c r="AY76" s="20"/>
      <c r="AZ76" s="21"/>
      <c r="BA76" s="19">
        <f>AX76</f>
        <v>125</v>
      </c>
      <c r="BB76" s="20"/>
      <c r="BC76" s="21"/>
      <c r="BD76" s="19">
        <f>AX76</f>
        <v>125</v>
      </c>
      <c r="BE76" s="20"/>
      <c r="BF76" s="21"/>
      <c r="BG76" s="19">
        <v>140</v>
      </c>
      <c r="BH76" s="20"/>
      <c r="BI76" s="21"/>
      <c r="BJ76" s="19">
        <v>175</v>
      </c>
      <c r="BK76" s="20"/>
      <c r="BL76" s="21"/>
      <c r="BM76" s="19">
        <f>BM74</f>
        <v>185</v>
      </c>
      <c r="BN76" s="20"/>
      <c r="BO76" s="21"/>
      <c r="BP76" s="19">
        <v>190</v>
      </c>
      <c r="BQ76" s="20"/>
      <c r="BR76" s="21"/>
      <c r="BS76" s="19">
        <f>BP76</f>
        <v>190</v>
      </c>
      <c r="BT76" s="20"/>
      <c r="BU76" s="21"/>
      <c r="BV76" s="19">
        <f>BP76</f>
        <v>190</v>
      </c>
      <c r="BW76" s="20"/>
      <c r="BX76" s="21"/>
      <c r="BY76" s="19">
        <v>210</v>
      </c>
      <c r="BZ76" s="20"/>
      <c r="CA76" s="21"/>
      <c r="CB76" s="19">
        <v>240</v>
      </c>
      <c r="CC76" s="20"/>
      <c r="CD76" s="21"/>
      <c r="CE76" s="19">
        <f>CB76</f>
        <v>240</v>
      </c>
      <c r="CF76" s="20"/>
      <c r="CG76" s="21"/>
      <c r="CH76" s="19">
        <f>CH74</f>
        <v>255</v>
      </c>
      <c r="CI76" s="20"/>
      <c r="CJ76" s="21"/>
    </row>
    <row r="77" spans="1:57" ht="18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 t="s">
        <v>256</v>
      </c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6"/>
      <c r="AU77" s="5" t="s">
        <v>257</v>
      </c>
      <c r="AV77" s="5"/>
      <c r="AW77" s="5"/>
      <c r="AX77" s="5"/>
      <c r="AY77" s="5"/>
      <c r="AZ77" s="5"/>
      <c r="BA77" s="5"/>
      <c r="BB77" s="5"/>
      <c r="BC77" s="5"/>
      <c r="BD77" s="5"/>
      <c r="BE77" s="5"/>
    </row>
    <row r="78" spans="1:88" ht="18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7"/>
      <c r="AU78" s="19">
        <f>IF(AG13&lt;=0.04,2,IF(AG13&lt;=0.075,3,4))</f>
        <v>2</v>
      </c>
      <c r="AV78" s="20"/>
      <c r="AW78" s="21"/>
      <c r="AX78" s="25" t="s">
        <v>233</v>
      </c>
      <c r="AY78" s="26"/>
      <c r="AZ78" s="27"/>
      <c r="BA78" s="25" t="s">
        <v>234</v>
      </c>
      <c r="BB78" s="26"/>
      <c r="BC78" s="27"/>
      <c r="BD78" s="25" t="s">
        <v>235</v>
      </c>
      <c r="BE78" s="26"/>
      <c r="BF78" s="27"/>
      <c r="BG78" s="25" t="s">
        <v>236</v>
      </c>
      <c r="BH78" s="26"/>
      <c r="BI78" s="27"/>
      <c r="BJ78" s="25" t="s">
        <v>88</v>
      </c>
      <c r="BK78" s="26"/>
      <c r="BL78" s="27"/>
      <c r="BM78" s="131" t="s">
        <v>237</v>
      </c>
      <c r="BN78" s="132"/>
      <c r="BO78" s="133"/>
      <c r="BP78" s="25" t="s">
        <v>238</v>
      </c>
      <c r="BQ78" s="26"/>
      <c r="BR78" s="27"/>
      <c r="BS78" s="25" t="s">
        <v>239</v>
      </c>
      <c r="BT78" s="26"/>
      <c r="BU78" s="27"/>
      <c r="BV78" s="25" t="s">
        <v>177</v>
      </c>
      <c r="BW78" s="26"/>
      <c r="BX78" s="27"/>
      <c r="BY78" s="131" t="s">
        <v>240</v>
      </c>
      <c r="BZ78" s="132"/>
      <c r="CA78" s="133"/>
      <c r="CB78" s="25" t="s">
        <v>241</v>
      </c>
      <c r="CC78" s="26"/>
      <c r="CD78" s="27"/>
      <c r="CE78" s="25" t="s">
        <v>242</v>
      </c>
      <c r="CF78" s="26"/>
      <c r="CG78" s="27"/>
      <c r="CH78" s="131" t="s">
        <v>243</v>
      </c>
      <c r="CI78" s="132"/>
      <c r="CJ78" s="133"/>
    </row>
    <row r="79" spans="1:88" ht="18" customHeight="1">
      <c r="A79" s="3"/>
      <c r="B79" s="3"/>
      <c r="C79" s="3" t="s">
        <v>258</v>
      </c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 t="s">
        <v>85</v>
      </c>
      <c r="S79" s="33" t="str">
        <f>AG4</f>
        <v>SMA490</v>
      </c>
      <c r="T79" s="33"/>
      <c r="U79" s="33"/>
      <c r="V79" s="33"/>
      <c r="W79" s="3" t="s">
        <v>259</v>
      </c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139"/>
      <c r="AU79" s="19">
        <v>40</v>
      </c>
      <c r="AV79" s="20"/>
      <c r="AW79" s="21"/>
      <c r="AX79" s="19">
        <v>140</v>
      </c>
      <c r="AY79" s="20"/>
      <c r="AZ79" s="21"/>
      <c r="BA79" s="19">
        <f>AX79</f>
        <v>140</v>
      </c>
      <c r="BB79" s="20"/>
      <c r="BC79" s="21"/>
      <c r="BD79" s="19">
        <f>AX79</f>
        <v>140</v>
      </c>
      <c r="BE79" s="20"/>
      <c r="BF79" s="21"/>
      <c r="BG79" s="19">
        <v>140</v>
      </c>
      <c r="BH79" s="20"/>
      <c r="BI79" s="21"/>
      <c r="BJ79" s="19">
        <v>185</v>
      </c>
      <c r="BK79" s="20"/>
      <c r="BL79" s="21"/>
      <c r="BM79" s="19">
        <f>BJ79</f>
        <v>185</v>
      </c>
      <c r="BN79" s="20"/>
      <c r="BO79" s="21"/>
      <c r="BP79" s="19">
        <v>210</v>
      </c>
      <c r="BQ79" s="20"/>
      <c r="BR79" s="21"/>
      <c r="BS79" s="19">
        <f>BP79</f>
        <v>210</v>
      </c>
      <c r="BT79" s="20"/>
      <c r="BU79" s="21"/>
      <c r="BV79" s="19">
        <f>BP79</f>
        <v>210</v>
      </c>
      <c r="BW79" s="20"/>
      <c r="BX79" s="21"/>
      <c r="BY79" s="19">
        <v>210</v>
      </c>
      <c r="BZ79" s="20"/>
      <c r="CA79" s="21"/>
      <c r="CB79" s="19">
        <v>255</v>
      </c>
      <c r="CC79" s="20"/>
      <c r="CD79" s="21"/>
      <c r="CE79" s="19">
        <f>CB79</f>
        <v>255</v>
      </c>
      <c r="CF79" s="20"/>
      <c r="CG79" s="21"/>
      <c r="CH79" s="19">
        <f>CE79</f>
        <v>255</v>
      </c>
      <c r="CI79" s="20"/>
      <c r="CJ79" s="21"/>
    </row>
    <row r="80" spans="1:88" ht="18" customHeight="1">
      <c r="A80" s="3"/>
      <c r="B80" s="3"/>
      <c r="C80" s="3"/>
      <c r="D80" s="3"/>
      <c r="E80" s="3" t="s">
        <v>90</v>
      </c>
      <c r="F80" s="3"/>
      <c r="G80" s="3"/>
      <c r="H80" s="126">
        <f>HLOOKUP(S79,AX73:CJ76,AU73,FALSE)</f>
        <v>210</v>
      </c>
      <c r="I80" s="126"/>
      <c r="J80" s="126"/>
      <c r="K80" s="126"/>
      <c r="L80" s="3" t="s">
        <v>101</v>
      </c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U80" s="135" t="s">
        <v>245</v>
      </c>
      <c r="AV80" s="136"/>
      <c r="AW80" s="137"/>
      <c r="AX80" s="19">
        <v>125</v>
      </c>
      <c r="AY80" s="20"/>
      <c r="AZ80" s="21"/>
      <c r="BA80" s="19">
        <f>AX80</f>
        <v>125</v>
      </c>
      <c r="BB80" s="20"/>
      <c r="BC80" s="21"/>
      <c r="BD80" s="19">
        <f>AX80</f>
        <v>125</v>
      </c>
      <c r="BE80" s="20"/>
      <c r="BF80" s="21"/>
      <c r="BG80" s="19">
        <v>140</v>
      </c>
      <c r="BH80" s="20"/>
      <c r="BI80" s="21"/>
      <c r="BJ80" s="19">
        <v>175</v>
      </c>
      <c r="BK80" s="20"/>
      <c r="BL80" s="21"/>
      <c r="BM80" s="19">
        <f>BM79</f>
        <v>185</v>
      </c>
      <c r="BN80" s="20"/>
      <c r="BO80" s="21"/>
      <c r="BP80" s="19">
        <v>195</v>
      </c>
      <c r="BQ80" s="20"/>
      <c r="BR80" s="21"/>
      <c r="BS80" s="19">
        <f>BP80</f>
        <v>195</v>
      </c>
      <c r="BT80" s="20"/>
      <c r="BU80" s="21"/>
      <c r="BV80" s="19">
        <f>BP80</f>
        <v>195</v>
      </c>
      <c r="BW80" s="20"/>
      <c r="BX80" s="21"/>
      <c r="BY80" s="19">
        <v>210</v>
      </c>
      <c r="BZ80" s="20"/>
      <c r="CA80" s="21"/>
      <c r="CB80" s="19">
        <v>245</v>
      </c>
      <c r="CC80" s="20"/>
      <c r="CD80" s="21"/>
      <c r="CE80" s="19">
        <f>CB80</f>
        <v>245</v>
      </c>
      <c r="CF80" s="20"/>
      <c r="CG80" s="21"/>
      <c r="CH80" s="19">
        <f>CH79</f>
        <v>255</v>
      </c>
      <c r="CI80" s="20"/>
      <c r="CJ80" s="21"/>
    </row>
    <row r="81" spans="1:88" ht="18" customHeight="1">
      <c r="A81" s="3"/>
      <c r="B81" s="3"/>
      <c r="C81" s="3" t="s">
        <v>260</v>
      </c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 t="s">
        <v>85</v>
      </c>
      <c r="S81" s="33" t="str">
        <f>S79</f>
        <v>SMA490</v>
      </c>
      <c r="T81" s="33"/>
      <c r="U81" s="33"/>
      <c r="V81" s="33"/>
      <c r="W81" s="3" t="s">
        <v>259</v>
      </c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U81" s="135" t="s">
        <v>247</v>
      </c>
      <c r="AV81" s="136"/>
      <c r="AW81" s="137"/>
      <c r="AX81" s="19">
        <v>125</v>
      </c>
      <c r="AY81" s="20"/>
      <c r="AZ81" s="21"/>
      <c r="BA81" s="19">
        <f>AX81</f>
        <v>125</v>
      </c>
      <c r="BB81" s="20"/>
      <c r="BC81" s="21"/>
      <c r="BD81" s="19">
        <f>AX81</f>
        <v>125</v>
      </c>
      <c r="BE81" s="20"/>
      <c r="BF81" s="21"/>
      <c r="BG81" s="19">
        <v>140</v>
      </c>
      <c r="BH81" s="20"/>
      <c r="BI81" s="21"/>
      <c r="BJ81" s="19">
        <v>175</v>
      </c>
      <c r="BK81" s="20"/>
      <c r="BL81" s="21"/>
      <c r="BM81" s="19">
        <f>BM79</f>
        <v>185</v>
      </c>
      <c r="BN81" s="20"/>
      <c r="BO81" s="21"/>
      <c r="BP81" s="19">
        <v>190</v>
      </c>
      <c r="BQ81" s="20"/>
      <c r="BR81" s="21"/>
      <c r="BS81" s="19">
        <f>BP81</f>
        <v>190</v>
      </c>
      <c r="BT81" s="20"/>
      <c r="BU81" s="21"/>
      <c r="BV81" s="19">
        <f>BP81</f>
        <v>190</v>
      </c>
      <c r="BW81" s="20"/>
      <c r="BX81" s="21"/>
      <c r="BY81" s="19">
        <v>210</v>
      </c>
      <c r="BZ81" s="20"/>
      <c r="CA81" s="21"/>
      <c r="CB81" s="19">
        <v>240</v>
      </c>
      <c r="CC81" s="20"/>
      <c r="CD81" s="21"/>
      <c r="CE81" s="19">
        <f>CB81</f>
        <v>240</v>
      </c>
      <c r="CF81" s="20"/>
      <c r="CG81" s="21"/>
      <c r="CH81" s="19">
        <f>CH79</f>
        <v>255</v>
      </c>
      <c r="CI81" s="20"/>
      <c r="CJ81" s="21"/>
    </row>
    <row r="82" spans="1:57" ht="18" customHeight="1">
      <c r="A82" s="3"/>
      <c r="B82" s="3"/>
      <c r="C82" s="3"/>
      <c r="D82" s="3"/>
      <c r="E82" s="33" t="s">
        <v>167</v>
      </c>
      <c r="F82" s="33"/>
      <c r="G82" s="33"/>
      <c r="H82" s="33"/>
      <c r="I82" s="33"/>
      <c r="J82" s="140"/>
      <c r="K82" s="141" t="s">
        <v>91</v>
      </c>
      <c r="L82" s="141"/>
      <c r="M82" s="140"/>
      <c r="N82" s="140"/>
      <c r="O82" s="3"/>
      <c r="P82" s="33" t="s">
        <v>79</v>
      </c>
      <c r="Q82" s="3"/>
      <c r="R82" s="140"/>
      <c r="S82" s="140"/>
      <c r="T82" s="142">
        <f>(AG7+AM7)*1000</f>
        <v>2400</v>
      </c>
      <c r="U82" s="141"/>
      <c r="V82" s="141"/>
      <c r="W82" s="140"/>
      <c r="X82" s="140"/>
      <c r="Y82" s="140"/>
      <c r="Z82" s="140"/>
      <c r="AA82" s="33" t="s">
        <v>79</v>
      </c>
      <c r="AB82" s="33"/>
      <c r="AC82" s="126">
        <f>T82/(R83*U83*Y83)</f>
        <v>18.181818181818183</v>
      </c>
      <c r="AD82" s="126"/>
      <c r="AE82" s="126"/>
      <c r="AF82" s="33" t="s">
        <v>71</v>
      </c>
      <c r="AG82" s="3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U82" s="5" t="s">
        <v>261</v>
      </c>
      <c r="AV82" s="5"/>
      <c r="AW82" s="5"/>
      <c r="AX82" s="5"/>
      <c r="AY82" s="5"/>
      <c r="AZ82" s="5"/>
      <c r="BA82" s="5"/>
      <c r="BB82" s="5"/>
      <c r="BC82" s="5"/>
      <c r="BD82" s="5"/>
      <c r="BE82" s="5"/>
    </row>
    <row r="83" spans="1:88" ht="18" customHeight="1">
      <c r="A83" s="3"/>
      <c r="B83" s="3"/>
      <c r="C83" s="3"/>
      <c r="D83" s="3"/>
      <c r="E83" s="33"/>
      <c r="F83" s="33"/>
      <c r="G83" s="33"/>
      <c r="H83" s="33"/>
      <c r="I83" s="33"/>
      <c r="J83" s="143">
        <f>HLOOKUP(S81,AX83:CJ86,AU84,FALSE)</f>
        <v>22</v>
      </c>
      <c r="K83" s="144"/>
      <c r="L83" s="3" t="s">
        <v>92</v>
      </c>
      <c r="M83" s="3"/>
      <c r="N83" s="3"/>
      <c r="O83" s="3"/>
      <c r="P83" s="33"/>
      <c r="Q83" s="3"/>
      <c r="R83" s="143">
        <f>J83</f>
        <v>22</v>
      </c>
      <c r="S83" s="144"/>
      <c r="T83" s="3" t="s">
        <v>83</v>
      </c>
      <c r="U83" s="144">
        <f>AF72</f>
        <v>1</v>
      </c>
      <c r="V83" s="144"/>
      <c r="W83" s="144"/>
      <c r="X83" s="3" t="s">
        <v>83</v>
      </c>
      <c r="Y83" s="143">
        <f>C32+1</f>
        <v>6</v>
      </c>
      <c r="Z83" s="144"/>
      <c r="AA83" s="33"/>
      <c r="AB83" s="33"/>
      <c r="AC83" s="126"/>
      <c r="AD83" s="126"/>
      <c r="AE83" s="126"/>
      <c r="AF83" s="33"/>
      <c r="AG83" s="3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U83" s="19">
        <f>AU78</f>
        <v>2</v>
      </c>
      <c r="AV83" s="20"/>
      <c r="AW83" s="21"/>
      <c r="AX83" s="25" t="s">
        <v>233</v>
      </c>
      <c r="AY83" s="26"/>
      <c r="AZ83" s="27"/>
      <c r="BA83" s="25" t="s">
        <v>234</v>
      </c>
      <c r="BB83" s="26"/>
      <c r="BC83" s="27"/>
      <c r="BD83" s="25" t="s">
        <v>235</v>
      </c>
      <c r="BE83" s="26"/>
      <c r="BF83" s="27"/>
      <c r="BG83" s="25" t="s">
        <v>236</v>
      </c>
      <c r="BH83" s="26"/>
      <c r="BI83" s="27"/>
      <c r="BJ83" s="25" t="s">
        <v>88</v>
      </c>
      <c r="BK83" s="26"/>
      <c r="BL83" s="27"/>
      <c r="BM83" s="131" t="s">
        <v>237</v>
      </c>
      <c r="BN83" s="132"/>
      <c r="BO83" s="133"/>
      <c r="BP83" s="25" t="s">
        <v>238</v>
      </c>
      <c r="BQ83" s="26"/>
      <c r="BR83" s="27"/>
      <c r="BS83" s="25" t="s">
        <v>239</v>
      </c>
      <c r="BT83" s="26"/>
      <c r="BU83" s="27"/>
      <c r="BV83" s="25" t="s">
        <v>177</v>
      </c>
      <c r="BW83" s="26"/>
      <c r="BX83" s="27"/>
      <c r="BY83" s="131" t="s">
        <v>240</v>
      </c>
      <c r="BZ83" s="132"/>
      <c r="CA83" s="133"/>
      <c r="CB83" s="25" t="s">
        <v>241</v>
      </c>
      <c r="CC83" s="26"/>
      <c r="CD83" s="27"/>
      <c r="CE83" s="25" t="s">
        <v>242</v>
      </c>
      <c r="CF83" s="26"/>
      <c r="CG83" s="27"/>
      <c r="CH83" s="131" t="s">
        <v>243</v>
      </c>
      <c r="CI83" s="132"/>
      <c r="CJ83" s="133"/>
    </row>
    <row r="84" spans="1:88" ht="18" customHeight="1">
      <c r="A84" s="3"/>
      <c r="B84" s="3"/>
      <c r="C84" s="3"/>
      <c r="D84" s="3"/>
      <c r="E84" s="3"/>
      <c r="F84" s="3"/>
      <c r="G84" s="3" t="s">
        <v>262</v>
      </c>
      <c r="H84" s="3"/>
      <c r="I84" s="3"/>
      <c r="J84" s="3"/>
      <c r="K84" s="3"/>
      <c r="L84" s="3"/>
      <c r="M84" s="3"/>
      <c r="N84" s="3"/>
      <c r="O84" s="65">
        <f>HLOOKUP(S81,AX78:CJ81,AU78,FALSE)</f>
        <v>210</v>
      </c>
      <c r="P84" s="65"/>
      <c r="Q84" s="65"/>
      <c r="R84" s="65"/>
      <c r="S84" s="3" t="s">
        <v>101</v>
      </c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U84" s="19">
        <v>2</v>
      </c>
      <c r="AV84" s="20"/>
      <c r="AW84" s="21"/>
      <c r="AX84" s="16">
        <v>28</v>
      </c>
      <c r="AY84" s="16"/>
      <c r="AZ84" s="16"/>
      <c r="BA84" s="18">
        <f>AX84</f>
        <v>28</v>
      </c>
      <c r="BB84" s="18"/>
      <c r="BC84" s="18"/>
      <c r="BD84" s="16">
        <f>AX84</f>
        <v>28</v>
      </c>
      <c r="BE84" s="16"/>
      <c r="BF84" s="16"/>
      <c r="BG84" s="16">
        <f>BA84</f>
        <v>28</v>
      </c>
      <c r="BH84" s="16"/>
      <c r="BI84" s="16"/>
      <c r="BJ84" s="17">
        <v>24</v>
      </c>
      <c r="BK84" s="17"/>
      <c r="BL84" s="17"/>
      <c r="BM84" s="17">
        <f>BJ84</f>
        <v>24</v>
      </c>
      <c r="BN84" s="17"/>
      <c r="BO84" s="17"/>
      <c r="BP84" s="17">
        <v>22</v>
      </c>
      <c r="BQ84" s="17"/>
      <c r="BR84" s="17"/>
      <c r="BS84" s="17">
        <f>BP84</f>
        <v>22</v>
      </c>
      <c r="BT84" s="17"/>
      <c r="BU84" s="17"/>
      <c r="BV84" s="17">
        <f>BP84</f>
        <v>22</v>
      </c>
      <c r="BW84" s="17"/>
      <c r="BX84" s="17"/>
      <c r="BY84" s="16">
        <f>BP84</f>
        <v>22</v>
      </c>
      <c r="BZ84" s="16"/>
      <c r="CA84" s="16"/>
      <c r="CB84" s="16">
        <v>22</v>
      </c>
      <c r="CC84" s="16"/>
      <c r="CD84" s="16"/>
      <c r="CE84" s="16">
        <f>CB84</f>
        <v>22</v>
      </c>
      <c r="CF84" s="16"/>
      <c r="CG84" s="16"/>
      <c r="CH84" s="16">
        <f>CB84</f>
        <v>22</v>
      </c>
      <c r="CI84" s="16"/>
      <c r="CJ84" s="16"/>
    </row>
    <row r="85" spans="1:88" ht="18" customHeight="1">
      <c r="A85" s="3"/>
      <c r="B85" s="3"/>
      <c r="C85" s="3"/>
      <c r="D85" s="3"/>
      <c r="E85" s="140"/>
      <c r="F85" s="141" t="s">
        <v>91</v>
      </c>
      <c r="G85" s="141"/>
      <c r="H85" s="140"/>
      <c r="I85" s="3"/>
      <c r="J85" s="33" t="s">
        <v>93</v>
      </c>
      <c r="K85" s="33" t="s">
        <v>167</v>
      </c>
      <c r="L85" s="33"/>
      <c r="M85" s="33"/>
      <c r="N85" s="33"/>
      <c r="O85" s="33"/>
      <c r="P85" s="140"/>
      <c r="Q85" s="141" t="s">
        <v>91</v>
      </c>
      <c r="R85" s="141"/>
      <c r="S85" s="140"/>
      <c r="T85" s="3"/>
      <c r="U85" s="33" t="s">
        <v>79</v>
      </c>
      <c r="V85" s="140"/>
      <c r="W85" s="140"/>
      <c r="X85" s="142">
        <f>(AG7+AM7)*1000</f>
        <v>2400</v>
      </c>
      <c r="Y85" s="141"/>
      <c r="Z85" s="141"/>
      <c r="AA85" s="140"/>
      <c r="AB85" s="140"/>
      <c r="AC85" s="140"/>
      <c r="AD85" s="140"/>
      <c r="AE85" s="33" t="s">
        <v>79</v>
      </c>
      <c r="AF85" s="126">
        <f>X85/(V86*Y86*AC86)</f>
        <v>8.695652173913043</v>
      </c>
      <c r="AG85" s="126"/>
      <c r="AH85" s="126"/>
      <c r="AI85" s="33" t="s">
        <v>71</v>
      </c>
      <c r="AJ85" s="33"/>
      <c r="AK85" s="3"/>
      <c r="AL85" s="3"/>
      <c r="AM85" s="3"/>
      <c r="AN85" s="3"/>
      <c r="AO85" s="3"/>
      <c r="AP85" s="3"/>
      <c r="AQ85" s="3"/>
      <c r="AR85" s="3"/>
      <c r="AS85" s="3"/>
      <c r="AU85" s="19">
        <v>3</v>
      </c>
      <c r="AV85" s="20"/>
      <c r="AW85" s="21"/>
      <c r="AX85" s="22">
        <f>IF(AU83=2,2.6,2.1)</f>
        <v>2.6</v>
      </c>
      <c r="AY85" s="22"/>
      <c r="AZ85" s="22"/>
      <c r="BA85" s="24">
        <f>AX85</f>
        <v>2.6</v>
      </c>
      <c r="BB85" s="24"/>
      <c r="BC85" s="24"/>
      <c r="BD85" s="22">
        <f>AX85</f>
        <v>2.6</v>
      </c>
      <c r="BE85" s="22"/>
      <c r="BF85" s="22"/>
      <c r="BG85" s="22">
        <f>BA85</f>
        <v>2.6</v>
      </c>
      <c r="BH85" s="22"/>
      <c r="BI85" s="22"/>
      <c r="BJ85" s="23">
        <f>IF(AU83=2,3.9,3.5)</f>
        <v>3.9</v>
      </c>
      <c r="BK85" s="23"/>
      <c r="BL85" s="23"/>
      <c r="BM85" s="23">
        <f>BJ85</f>
        <v>3.9</v>
      </c>
      <c r="BN85" s="23"/>
      <c r="BO85" s="23"/>
      <c r="BP85" s="23">
        <f>IF(AU83=2,4.6,IF(AU83=3,4,3.7))</f>
        <v>4.6</v>
      </c>
      <c r="BQ85" s="23"/>
      <c r="BR85" s="23"/>
      <c r="BS85" s="23">
        <f>BP85</f>
        <v>4.6</v>
      </c>
      <c r="BT85" s="23"/>
      <c r="BU85" s="23"/>
      <c r="BV85" s="23">
        <f>BP85</f>
        <v>4.6</v>
      </c>
      <c r="BW85" s="23"/>
      <c r="BX85" s="23"/>
      <c r="BY85" s="22">
        <f>BP85</f>
        <v>4.6</v>
      </c>
      <c r="BZ85" s="22"/>
      <c r="CA85" s="22"/>
      <c r="CB85" s="22">
        <f>IF(AU83=2,6.9,IF(AU83=3,6.2,6))</f>
        <v>6.9</v>
      </c>
      <c r="CC85" s="22"/>
      <c r="CD85" s="22"/>
      <c r="CE85" s="22">
        <f>CB85</f>
        <v>6.9</v>
      </c>
      <c r="CF85" s="22"/>
      <c r="CG85" s="22"/>
      <c r="CH85" s="22">
        <f>CB85</f>
        <v>6.9</v>
      </c>
      <c r="CI85" s="22"/>
      <c r="CJ85" s="22"/>
    </row>
    <row r="86" spans="1:88" ht="18" customHeight="1">
      <c r="A86" s="3"/>
      <c r="B86" s="3"/>
      <c r="C86" s="3"/>
      <c r="D86" s="3"/>
      <c r="E86" s="143">
        <f>HLOOKUP(S81,AX83:CJ86,AU84,FALSE)</f>
        <v>22</v>
      </c>
      <c r="F86" s="144"/>
      <c r="G86" s="3" t="s">
        <v>92</v>
      </c>
      <c r="H86" s="3"/>
      <c r="I86" s="3"/>
      <c r="J86" s="33"/>
      <c r="K86" s="33"/>
      <c r="L86" s="33"/>
      <c r="M86" s="33"/>
      <c r="N86" s="33"/>
      <c r="O86" s="33"/>
      <c r="P86" s="143">
        <f>HLOOKUP(S81,AX83:CJ86,AU86,FALSE)</f>
        <v>46</v>
      </c>
      <c r="Q86" s="144"/>
      <c r="R86" s="3" t="s">
        <v>92</v>
      </c>
      <c r="S86" s="3"/>
      <c r="T86" s="3"/>
      <c r="U86" s="33"/>
      <c r="V86" s="143">
        <f>P86</f>
        <v>46</v>
      </c>
      <c r="W86" s="144"/>
      <c r="X86" s="3" t="s">
        <v>83</v>
      </c>
      <c r="Y86" s="144">
        <f>AF72</f>
        <v>1</v>
      </c>
      <c r="Z86" s="144"/>
      <c r="AA86" s="144"/>
      <c r="AB86" s="3" t="s">
        <v>83</v>
      </c>
      <c r="AC86" s="143">
        <f>C32+1</f>
        <v>6</v>
      </c>
      <c r="AD86" s="144"/>
      <c r="AE86" s="33"/>
      <c r="AF86" s="126"/>
      <c r="AG86" s="126"/>
      <c r="AH86" s="126"/>
      <c r="AI86" s="33"/>
      <c r="AJ86" s="33"/>
      <c r="AK86" s="3"/>
      <c r="AL86" s="3"/>
      <c r="AM86" s="3"/>
      <c r="AN86" s="3"/>
      <c r="AO86" s="3"/>
      <c r="AP86" s="3"/>
      <c r="AQ86" s="3"/>
      <c r="AR86" s="3"/>
      <c r="AS86" s="3"/>
      <c r="AU86" s="19">
        <v>4</v>
      </c>
      <c r="AV86" s="20"/>
      <c r="AW86" s="21"/>
      <c r="AX86" s="16">
        <f>IF(AU83=2,56,58)</f>
        <v>56</v>
      </c>
      <c r="AY86" s="16"/>
      <c r="AZ86" s="16"/>
      <c r="BA86" s="18">
        <f>AX86</f>
        <v>56</v>
      </c>
      <c r="BB86" s="18"/>
      <c r="BC86" s="18"/>
      <c r="BD86" s="16">
        <f>AX86</f>
        <v>56</v>
      </c>
      <c r="BE86" s="16"/>
      <c r="BF86" s="16"/>
      <c r="BG86" s="16">
        <f>BA86</f>
        <v>56</v>
      </c>
      <c r="BH86" s="16"/>
      <c r="BI86" s="16"/>
      <c r="BJ86" s="17">
        <f>IF(AU83=2,48,50)</f>
        <v>48</v>
      </c>
      <c r="BK86" s="17"/>
      <c r="BL86" s="17"/>
      <c r="BM86" s="17">
        <f>BJ86</f>
        <v>48</v>
      </c>
      <c r="BN86" s="17"/>
      <c r="BO86" s="17"/>
      <c r="BP86" s="17">
        <f>IF(AU83=2,46,IF(AU83=3,46,48))</f>
        <v>46</v>
      </c>
      <c r="BQ86" s="17"/>
      <c r="BR86" s="17"/>
      <c r="BS86" s="17">
        <f>BP86</f>
        <v>46</v>
      </c>
      <c r="BT86" s="17"/>
      <c r="BU86" s="17"/>
      <c r="BV86" s="17">
        <f>BP86</f>
        <v>46</v>
      </c>
      <c r="BW86" s="17"/>
      <c r="BX86" s="17"/>
      <c r="BY86" s="16">
        <f>BP86</f>
        <v>46</v>
      </c>
      <c r="BZ86" s="16"/>
      <c r="CA86" s="16"/>
      <c r="CB86" s="16">
        <f>IF(AU83=2,40,IF(AU83=3,42,42))</f>
        <v>40</v>
      </c>
      <c r="CC86" s="16"/>
      <c r="CD86" s="16"/>
      <c r="CE86" s="16">
        <f>CB86</f>
        <v>40</v>
      </c>
      <c r="CF86" s="16"/>
      <c r="CG86" s="16"/>
      <c r="CH86" s="16">
        <f>CB86</f>
        <v>40</v>
      </c>
      <c r="CI86" s="16"/>
      <c r="CJ86" s="16"/>
    </row>
    <row r="87" spans="1:45" ht="18" customHeight="1">
      <c r="A87" s="3"/>
      <c r="B87" s="3"/>
      <c r="C87" s="3"/>
      <c r="D87" s="3"/>
      <c r="E87" s="3"/>
      <c r="F87" s="3"/>
      <c r="G87" s="3" t="s">
        <v>262</v>
      </c>
      <c r="H87" s="3"/>
      <c r="I87" s="3"/>
      <c r="J87" s="3"/>
      <c r="K87" s="3"/>
      <c r="L87" s="3"/>
      <c r="M87" s="3"/>
      <c r="N87" s="3"/>
      <c r="O87" s="127">
        <f>O84</f>
        <v>210</v>
      </c>
      <c r="P87" s="33"/>
      <c r="Q87" s="33"/>
      <c r="R87" s="3" t="s">
        <v>72</v>
      </c>
      <c r="S87" s="127">
        <f>HLOOKUP(S81,AX83:CJ86,AU85,FALSE)</f>
        <v>4.6</v>
      </c>
      <c r="T87" s="33"/>
      <c r="U87" s="3" t="s">
        <v>85</v>
      </c>
      <c r="V87" s="3" t="s">
        <v>94</v>
      </c>
      <c r="W87" s="3"/>
      <c r="X87" s="3"/>
      <c r="Y87" s="3"/>
      <c r="Z87" s="3"/>
      <c r="AA87" s="3"/>
      <c r="AB87" s="145">
        <f>E86</f>
        <v>22</v>
      </c>
      <c r="AC87" s="1"/>
      <c r="AD87" s="3" t="s">
        <v>89</v>
      </c>
      <c r="AE87" s="3" t="s">
        <v>79</v>
      </c>
      <c r="AF87" s="65">
        <f>ROUND(O87-S87*(X85/(AG13*1000*AF72*(C32+1))-AB87),3)</f>
        <v>157.867</v>
      </c>
      <c r="AG87" s="65"/>
      <c r="AH87" s="65"/>
      <c r="AI87" s="65"/>
      <c r="AJ87" s="3" t="s">
        <v>101</v>
      </c>
      <c r="AK87" s="3"/>
      <c r="AL87" s="3"/>
      <c r="AM87" s="3"/>
      <c r="AN87" s="3"/>
      <c r="AO87" s="3"/>
      <c r="AP87" s="3"/>
      <c r="AQ87" s="3"/>
      <c r="AR87" s="3"/>
      <c r="AS87" s="3"/>
    </row>
    <row r="88" spans="1:45" ht="18" customHeight="1">
      <c r="A88" s="3"/>
      <c r="B88" s="3"/>
      <c r="C88" s="3"/>
      <c r="D88" s="3"/>
      <c r="E88" s="140"/>
      <c r="F88" s="141" t="s">
        <v>91</v>
      </c>
      <c r="G88" s="141"/>
      <c r="H88" s="140"/>
      <c r="I88" s="3"/>
      <c r="J88" s="33" t="s">
        <v>93</v>
      </c>
      <c r="K88" s="33" t="s">
        <v>167</v>
      </c>
      <c r="L88" s="33"/>
      <c r="M88" s="33"/>
      <c r="N88" s="33"/>
      <c r="O88" s="33"/>
      <c r="P88" s="140"/>
      <c r="Q88" s="141" t="s">
        <v>91</v>
      </c>
      <c r="R88" s="141"/>
      <c r="S88" s="140"/>
      <c r="T88" s="3"/>
      <c r="U88" s="33" t="s">
        <v>79</v>
      </c>
      <c r="V88" s="140"/>
      <c r="W88" s="140"/>
      <c r="X88" s="142">
        <f>(AG7+AM7)*1000</f>
        <v>2400</v>
      </c>
      <c r="Y88" s="141"/>
      <c r="Z88" s="141"/>
      <c r="AA88" s="140"/>
      <c r="AB88" s="140"/>
      <c r="AC88" s="140"/>
      <c r="AD88" s="140"/>
      <c r="AE88" s="33" t="s">
        <v>79</v>
      </c>
      <c r="AF88" s="126">
        <f>X88/(V89*Y89*AC89)</f>
        <v>5</v>
      </c>
      <c r="AG88" s="126"/>
      <c r="AH88" s="126"/>
      <c r="AI88" s="33" t="s">
        <v>71</v>
      </c>
      <c r="AJ88" s="33"/>
      <c r="AK88" s="3"/>
      <c r="AL88" s="3"/>
      <c r="AM88" s="3"/>
      <c r="AN88" s="3"/>
      <c r="AO88" s="3"/>
      <c r="AP88" s="3"/>
      <c r="AQ88" s="3"/>
      <c r="AR88" s="3"/>
      <c r="AS88" s="3"/>
    </row>
    <row r="89" spans="1:45" ht="18" customHeight="1">
      <c r="A89" s="3"/>
      <c r="B89" s="3"/>
      <c r="C89" s="3"/>
      <c r="D89" s="3"/>
      <c r="E89" s="143">
        <f>P86</f>
        <v>46</v>
      </c>
      <c r="F89" s="144"/>
      <c r="G89" s="3" t="s">
        <v>92</v>
      </c>
      <c r="H89" s="3"/>
      <c r="I89" s="3"/>
      <c r="J89" s="33"/>
      <c r="K89" s="33"/>
      <c r="L89" s="33"/>
      <c r="M89" s="33"/>
      <c r="N89" s="33"/>
      <c r="O89" s="33"/>
      <c r="P89" s="143">
        <v>80</v>
      </c>
      <c r="Q89" s="144"/>
      <c r="R89" s="3" t="s">
        <v>92</v>
      </c>
      <c r="S89" s="3"/>
      <c r="T89" s="3"/>
      <c r="U89" s="33"/>
      <c r="V89" s="143">
        <f>P89</f>
        <v>80</v>
      </c>
      <c r="W89" s="144"/>
      <c r="X89" s="3" t="s">
        <v>83</v>
      </c>
      <c r="Y89" s="144">
        <f>AF72</f>
        <v>1</v>
      </c>
      <c r="Z89" s="144"/>
      <c r="AA89" s="144"/>
      <c r="AB89" s="3" t="s">
        <v>83</v>
      </c>
      <c r="AC89" s="143">
        <f>C32+1</f>
        <v>6</v>
      </c>
      <c r="AD89" s="144"/>
      <c r="AE89" s="33"/>
      <c r="AF89" s="126"/>
      <c r="AG89" s="126"/>
      <c r="AH89" s="126"/>
      <c r="AI89" s="33"/>
      <c r="AJ89" s="33"/>
      <c r="AK89" s="3"/>
      <c r="AL89" s="3"/>
      <c r="AM89" s="3"/>
      <c r="AN89" s="3"/>
      <c r="AO89" s="3"/>
      <c r="AP89" s="3"/>
      <c r="AQ89" s="3"/>
      <c r="AR89" s="3"/>
      <c r="AS89" s="3"/>
    </row>
    <row r="90" spans="1:47" ht="18" customHeight="1">
      <c r="A90" s="3"/>
      <c r="B90" s="3"/>
      <c r="C90" s="3"/>
      <c r="D90" s="3"/>
      <c r="E90" s="3"/>
      <c r="F90" s="3"/>
      <c r="G90" s="3" t="s">
        <v>262</v>
      </c>
      <c r="H90" s="3"/>
      <c r="I90" s="3"/>
      <c r="J90" s="3"/>
      <c r="K90" s="3"/>
      <c r="L90" s="3"/>
      <c r="M90" s="3"/>
      <c r="N90" s="127">
        <f>210000</f>
        <v>210000</v>
      </c>
      <c r="O90" s="127"/>
      <c r="P90" s="127"/>
      <c r="Q90" s="127"/>
      <c r="R90" s="3" t="s">
        <v>83</v>
      </c>
      <c r="S90" s="3" t="s">
        <v>95</v>
      </c>
      <c r="T90" s="3"/>
      <c r="U90" s="3"/>
      <c r="V90" s="3"/>
      <c r="W90" s="3"/>
      <c r="X90" s="3"/>
      <c r="Y90" s="3"/>
      <c r="Z90" s="3" t="s">
        <v>79</v>
      </c>
      <c r="AA90" s="33">
        <f>N90*(AG13*1000*Y89*AC89/X88)^2</f>
        <v>189</v>
      </c>
      <c r="AB90" s="33"/>
      <c r="AC90" s="33"/>
      <c r="AD90" s="33"/>
      <c r="AE90" s="3"/>
      <c r="AF90" s="3" t="s">
        <v>101</v>
      </c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U90" s="61"/>
    </row>
    <row r="91" spans="1:45" ht="18" customHeight="1">
      <c r="A91" s="3"/>
      <c r="B91" s="3"/>
      <c r="C91" s="3"/>
      <c r="D91" s="3"/>
      <c r="E91" s="3" t="s">
        <v>263</v>
      </c>
      <c r="F91" s="3"/>
      <c r="G91" s="3"/>
      <c r="H91" s="3"/>
      <c r="I91" s="3"/>
      <c r="J91" s="126">
        <f>AG13*1000</f>
        <v>12</v>
      </c>
      <c r="K91" s="126"/>
      <c r="L91" s="126"/>
      <c r="M91" s="2" t="s">
        <v>219</v>
      </c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</row>
    <row r="92" spans="1:45" ht="18" customHeight="1">
      <c r="A92" s="3"/>
      <c r="B92" s="3"/>
      <c r="C92" s="3"/>
      <c r="D92" s="3"/>
      <c r="E92" s="3" t="s">
        <v>264</v>
      </c>
      <c r="F92" s="3"/>
      <c r="G92" s="3"/>
      <c r="H92" s="3"/>
      <c r="I92" s="3"/>
      <c r="J92" s="3"/>
      <c r="K92" s="3"/>
      <c r="L92" s="33">
        <f>IF(J91&gt;=AC82,O84,IF(J91&gt;=AF85,AF87,IF(J91&gt;=AF88,AA90,"확인 요망")))</f>
        <v>157.867</v>
      </c>
      <c r="M92" s="33"/>
      <c r="N92" s="33"/>
      <c r="O92" s="33"/>
      <c r="P92" s="3" t="s">
        <v>101</v>
      </c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</row>
    <row r="93" spans="1:45" ht="18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</row>
    <row r="94" spans="1:45" ht="18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</row>
    <row r="95" spans="1:46" ht="18" customHeight="1">
      <c r="A95" s="3"/>
      <c r="B95" s="3"/>
      <c r="C95" s="146" t="s">
        <v>265</v>
      </c>
      <c r="D95" s="147"/>
      <c r="E95" s="147"/>
      <c r="F95" s="147"/>
      <c r="G95" s="147"/>
      <c r="H95" s="146" t="s">
        <v>266</v>
      </c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 t="s">
        <v>96</v>
      </c>
      <c r="AC95" s="147"/>
      <c r="AD95" s="147"/>
      <c r="AE95" s="147"/>
      <c r="AF95" s="147"/>
      <c r="AG95" s="147"/>
      <c r="AH95" s="147"/>
      <c r="AI95" s="147"/>
      <c r="AJ95" s="159" t="s">
        <v>267</v>
      </c>
      <c r="AK95" s="160"/>
      <c r="AL95" s="160"/>
      <c r="AM95" s="160"/>
      <c r="AN95" s="160"/>
      <c r="AO95" s="160"/>
      <c r="AP95" s="160"/>
      <c r="AQ95" s="160"/>
      <c r="AR95" s="148"/>
      <c r="AS95" s="148"/>
      <c r="AT95" s="139"/>
    </row>
    <row r="96" spans="1:46" ht="18" customHeight="1">
      <c r="A96" s="3"/>
      <c r="B96" s="3"/>
      <c r="C96" s="147"/>
      <c r="D96" s="147"/>
      <c r="E96" s="147"/>
      <c r="F96" s="147"/>
      <c r="G96" s="147"/>
      <c r="H96" s="146" t="s">
        <v>268</v>
      </c>
      <c r="I96" s="147"/>
      <c r="J96" s="147"/>
      <c r="K96" s="147"/>
      <c r="L96" s="147"/>
      <c r="M96" s="147"/>
      <c r="N96" s="147"/>
      <c r="O96" s="147"/>
      <c r="P96" s="147"/>
      <c r="Q96" s="147"/>
      <c r="R96" s="146" t="s">
        <v>269</v>
      </c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59" t="s">
        <v>270</v>
      </c>
      <c r="AK96" s="160"/>
      <c r="AL96" s="160"/>
      <c r="AM96" s="160"/>
      <c r="AN96" s="160"/>
      <c r="AO96" s="160"/>
      <c r="AP96" s="160"/>
      <c r="AQ96" s="160"/>
      <c r="AR96" s="148"/>
      <c r="AS96" s="148"/>
      <c r="AT96" s="139"/>
    </row>
    <row r="97" spans="1:46" ht="18" customHeight="1">
      <c r="A97" s="3"/>
      <c r="B97" s="3"/>
      <c r="C97" s="147"/>
      <c r="D97" s="147"/>
      <c r="E97" s="147"/>
      <c r="F97" s="147"/>
      <c r="G97" s="147"/>
      <c r="H97" s="149" t="s">
        <v>271</v>
      </c>
      <c r="I97" s="81"/>
      <c r="J97" s="81"/>
      <c r="K97" s="81"/>
      <c r="L97" s="86"/>
      <c r="M97" s="149" t="s">
        <v>272</v>
      </c>
      <c r="N97" s="81"/>
      <c r="O97" s="81"/>
      <c r="P97" s="81"/>
      <c r="Q97" s="86"/>
      <c r="R97" s="149" t="s">
        <v>271</v>
      </c>
      <c r="S97" s="81"/>
      <c r="T97" s="81"/>
      <c r="U97" s="81"/>
      <c r="V97" s="86"/>
      <c r="W97" s="149" t="s">
        <v>272</v>
      </c>
      <c r="X97" s="81"/>
      <c r="Y97" s="81"/>
      <c r="Z97" s="81"/>
      <c r="AA97" s="86"/>
      <c r="AB97" s="146" t="s">
        <v>271</v>
      </c>
      <c r="AC97" s="147"/>
      <c r="AD97" s="147"/>
      <c r="AE97" s="147"/>
      <c r="AF97" s="146" t="s">
        <v>272</v>
      </c>
      <c r="AG97" s="147"/>
      <c r="AH97" s="147"/>
      <c r="AI97" s="147"/>
      <c r="AJ97" s="159" t="s">
        <v>271</v>
      </c>
      <c r="AK97" s="160"/>
      <c r="AL97" s="160"/>
      <c r="AM97" s="160"/>
      <c r="AN97" s="159" t="s">
        <v>272</v>
      </c>
      <c r="AO97" s="160"/>
      <c r="AP97" s="160"/>
      <c r="AQ97" s="160"/>
      <c r="AR97" s="148"/>
      <c r="AS97" s="148"/>
      <c r="AT97" s="139"/>
    </row>
    <row r="98" spans="1:47" ht="18" customHeight="1">
      <c r="A98" s="3"/>
      <c r="B98" s="3"/>
      <c r="C98" s="150">
        <v>1</v>
      </c>
      <c r="D98" s="150"/>
      <c r="E98" s="150"/>
      <c r="F98" s="150"/>
      <c r="G98" s="150"/>
      <c r="H98" s="147">
        <f>M58</f>
        <v>27.406839145760834</v>
      </c>
      <c r="I98" s="147"/>
      <c r="J98" s="147"/>
      <c r="K98" s="147"/>
      <c r="L98" s="147"/>
      <c r="M98" s="147">
        <f>M59</f>
        <v>-31.83843314441474</v>
      </c>
      <c r="N98" s="147"/>
      <c r="O98" s="147"/>
      <c r="P98" s="147"/>
      <c r="Q98" s="147"/>
      <c r="R98" s="147">
        <f>IF(H98&gt;=0,H80,L92)</f>
        <v>210</v>
      </c>
      <c r="S98" s="147"/>
      <c r="T98" s="147"/>
      <c r="U98" s="147"/>
      <c r="V98" s="147"/>
      <c r="W98" s="147">
        <f>IF(M98&gt;=0,H80,L92)</f>
        <v>157.867</v>
      </c>
      <c r="X98" s="147"/>
      <c r="Y98" s="147"/>
      <c r="Z98" s="147"/>
      <c r="AA98" s="147"/>
      <c r="AB98" s="147">
        <f>(H98/R98)^2</f>
        <v>0.017032535872145312</v>
      </c>
      <c r="AC98" s="147"/>
      <c r="AD98" s="147"/>
      <c r="AE98" s="147"/>
      <c r="AF98" s="147">
        <f>(M98/W98)^2</f>
        <v>0.04067435376312611</v>
      </c>
      <c r="AG98" s="147"/>
      <c r="AH98" s="147"/>
      <c r="AI98" s="147"/>
      <c r="AJ98" s="160">
        <f>(H98/R98)^2+(S60/AJ68)^2</f>
        <v>0.0469306353980488</v>
      </c>
      <c r="AK98" s="160"/>
      <c r="AL98" s="160"/>
      <c r="AM98" s="160"/>
      <c r="AN98" s="160">
        <f>(M98/W98)^2+(S60/AJ68)^2</f>
        <v>0.07057245328902959</v>
      </c>
      <c r="AO98" s="160"/>
      <c r="AP98" s="160"/>
      <c r="AQ98" s="160"/>
      <c r="AR98" s="148"/>
      <c r="AS98" s="148"/>
      <c r="AT98" s="139"/>
      <c r="AU98" s="151"/>
    </row>
    <row r="99" spans="1:46" ht="18" customHeight="1">
      <c r="A99" s="3"/>
      <c r="B99" s="3"/>
      <c r="C99" s="150" t="s">
        <v>273</v>
      </c>
      <c r="D99" s="150"/>
      <c r="E99" s="150"/>
      <c r="F99" s="150"/>
      <c r="G99" s="150"/>
      <c r="H99" s="147">
        <f>M58+N63</f>
        <v>50.226993055380106</v>
      </c>
      <c r="I99" s="147"/>
      <c r="J99" s="147"/>
      <c r="K99" s="147"/>
      <c r="L99" s="147"/>
      <c r="M99" s="147">
        <f>M59+N64</f>
        <v>-58.34852942850405</v>
      </c>
      <c r="N99" s="147"/>
      <c r="O99" s="147"/>
      <c r="P99" s="147"/>
      <c r="Q99" s="147"/>
      <c r="R99" s="147">
        <f>R98</f>
        <v>210</v>
      </c>
      <c r="S99" s="147"/>
      <c r="T99" s="147"/>
      <c r="U99" s="147"/>
      <c r="V99" s="147"/>
      <c r="W99" s="147">
        <f>W98</f>
        <v>157.867</v>
      </c>
      <c r="X99" s="147"/>
      <c r="Y99" s="147"/>
      <c r="Z99" s="147"/>
      <c r="AA99" s="147"/>
      <c r="AB99" s="147">
        <f>(H99/R99)^2</f>
        <v>0.05720523427177328</v>
      </c>
      <c r="AC99" s="147"/>
      <c r="AD99" s="147"/>
      <c r="AE99" s="147"/>
      <c r="AF99" s="147">
        <f>(M99/W99)^2</f>
        <v>0.13660830972784227</v>
      </c>
      <c r="AG99" s="147"/>
      <c r="AH99" s="147"/>
      <c r="AI99" s="147"/>
      <c r="AJ99" s="160">
        <f>(H99/R99)^2+(Z68/AJ68)^2</f>
        <v>0.13500396425108485</v>
      </c>
      <c r="AK99" s="160"/>
      <c r="AL99" s="160"/>
      <c r="AM99" s="160"/>
      <c r="AN99" s="160">
        <f>(M99/W99)^2+(Z68/AJ68)^2</f>
        <v>0.21440703970715386</v>
      </c>
      <c r="AO99" s="160"/>
      <c r="AP99" s="160"/>
      <c r="AQ99" s="160"/>
      <c r="AR99" s="148"/>
      <c r="AS99" s="148"/>
      <c r="AT99" s="139"/>
    </row>
    <row r="100" spans="1:45" ht="18" customHeight="1">
      <c r="A100" s="3"/>
      <c r="B100" s="3"/>
      <c r="C100" s="3" t="s">
        <v>274</v>
      </c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134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</row>
    <row r="101" spans="1:45" ht="18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</row>
    <row r="102" spans="1:45" ht="18" customHeight="1">
      <c r="A102" s="3"/>
      <c r="B102" s="3" t="s">
        <v>275</v>
      </c>
      <c r="C102" s="3"/>
      <c r="D102" s="3"/>
      <c r="E102" s="3"/>
      <c r="F102" s="3"/>
      <c r="G102" s="3"/>
      <c r="H102" s="3"/>
      <c r="I102" s="3"/>
      <c r="J102" s="3"/>
      <c r="K102" s="134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</row>
    <row r="103" spans="1:45" ht="18" customHeight="1">
      <c r="A103" s="3"/>
      <c r="B103" s="3"/>
      <c r="C103" s="3"/>
      <c r="D103" s="3"/>
      <c r="E103" s="3" t="s">
        <v>276</v>
      </c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</row>
    <row r="104" spans="1:45" ht="18" customHeight="1">
      <c r="A104" s="3"/>
      <c r="B104" s="3"/>
      <c r="C104" s="3"/>
      <c r="D104" s="3"/>
      <c r="E104" s="3"/>
      <c r="F104" s="152" t="s">
        <v>85</v>
      </c>
      <c r="G104" s="141" t="s">
        <v>97</v>
      </c>
      <c r="H104" s="141"/>
      <c r="I104" s="153">
        <v>0</v>
      </c>
      <c r="J104" s="33"/>
      <c r="K104" s="33"/>
      <c r="L104" s="33"/>
      <c r="M104" s="141" t="s">
        <v>98</v>
      </c>
      <c r="N104" s="141"/>
      <c r="O104" s="154">
        <v>0</v>
      </c>
      <c r="P104" s="33"/>
      <c r="Q104" s="33" t="s">
        <v>79</v>
      </c>
      <c r="R104" s="152" t="s">
        <v>85</v>
      </c>
      <c r="S104" s="141">
        <f>IF(AB98=R106,H98,IF(AB99=R106,H99,"ERROR"))</f>
        <v>50.226993055380106</v>
      </c>
      <c r="T104" s="141"/>
      <c r="U104" s="141"/>
      <c r="V104" s="141"/>
      <c r="W104" s="141"/>
      <c r="X104" s="154">
        <v>0</v>
      </c>
      <c r="Y104" s="33"/>
      <c r="Z104" s="33" t="s">
        <v>78</v>
      </c>
      <c r="AA104" s="152" t="s">
        <v>85</v>
      </c>
      <c r="AB104" s="141">
        <f>Z68</f>
        <v>33.47090843855432</v>
      </c>
      <c r="AC104" s="141"/>
      <c r="AD104" s="141"/>
      <c r="AE104" s="141"/>
      <c r="AF104" s="141"/>
      <c r="AG104" s="154">
        <v>0</v>
      </c>
      <c r="AH104" s="3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</row>
    <row r="105" spans="1:45" ht="18" customHeight="1">
      <c r="A105" s="3"/>
      <c r="B105" s="3"/>
      <c r="C105" s="3"/>
      <c r="D105" s="3"/>
      <c r="E105" s="3"/>
      <c r="F105" s="33"/>
      <c r="G105" s="144" t="s">
        <v>99</v>
      </c>
      <c r="H105" s="144"/>
      <c r="I105" s="33"/>
      <c r="J105" s="33"/>
      <c r="K105" s="33"/>
      <c r="L105" s="33"/>
      <c r="M105" s="144" t="s">
        <v>100</v>
      </c>
      <c r="N105" s="144"/>
      <c r="O105" s="33"/>
      <c r="P105" s="33"/>
      <c r="Q105" s="33"/>
      <c r="R105" s="33"/>
      <c r="S105" s="144">
        <f>IF(AB98=R106,R98,IF(AB99=R106,R99,"ERROR"))</f>
        <v>210</v>
      </c>
      <c r="T105" s="144"/>
      <c r="U105" s="144"/>
      <c r="V105" s="144"/>
      <c r="W105" s="144"/>
      <c r="X105" s="33"/>
      <c r="Y105" s="33"/>
      <c r="Z105" s="33"/>
      <c r="AA105" s="33"/>
      <c r="AB105" s="144">
        <f>AJ68</f>
        <v>120</v>
      </c>
      <c r="AC105" s="144"/>
      <c r="AD105" s="144"/>
      <c r="AE105" s="144"/>
      <c r="AF105" s="144"/>
      <c r="AG105" s="33"/>
      <c r="AH105" s="3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</row>
    <row r="106" spans="1:45" ht="18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 t="s">
        <v>79</v>
      </c>
      <c r="R106" s="33">
        <f>MAX(AB98:AB99)</f>
        <v>0.05720523427177328</v>
      </c>
      <c r="S106" s="33"/>
      <c r="T106" s="33"/>
      <c r="U106" s="33"/>
      <c r="V106" s="3" t="s">
        <v>78</v>
      </c>
      <c r="W106" s="33">
        <f>(Z68/AJ68)^2</f>
        <v>0.07779872997931157</v>
      </c>
      <c r="X106" s="33"/>
      <c r="Y106" s="33"/>
      <c r="Z106" s="33"/>
      <c r="AA106" s="3" t="s">
        <v>79</v>
      </c>
      <c r="AB106" s="33">
        <f>R106+W106</f>
        <v>0.13500396425108485</v>
      </c>
      <c r="AC106" s="33"/>
      <c r="AD106" s="33"/>
      <c r="AE106" s="33"/>
      <c r="AF106" s="3"/>
      <c r="AG106" s="3" t="str">
        <f>IF(AB106&gt;AI106,"＞","＜")</f>
        <v>＜</v>
      </c>
      <c r="AH106" s="3"/>
      <c r="AI106" s="126">
        <v>1.2</v>
      </c>
      <c r="AJ106" s="33"/>
      <c r="AK106" s="33"/>
      <c r="AL106" s="3"/>
      <c r="AM106" s="3" t="str">
        <f>IF(AB106&lt;AI106,"O.K.","N.G.")</f>
        <v>O.K.</v>
      </c>
      <c r="AN106" s="3"/>
      <c r="AO106" s="3"/>
      <c r="AP106" s="3"/>
      <c r="AQ106" s="3"/>
      <c r="AR106" s="3"/>
      <c r="AS106" s="3"/>
    </row>
    <row r="107" spans="1:45" ht="18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</row>
    <row r="108" spans="1:45" ht="18" customHeight="1">
      <c r="A108" s="3"/>
      <c r="B108" s="3"/>
      <c r="C108" s="3"/>
      <c r="D108" s="3"/>
      <c r="E108" s="3" t="s">
        <v>277</v>
      </c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</row>
    <row r="109" spans="1:45" ht="18" customHeight="1">
      <c r="A109" s="3"/>
      <c r="B109" s="3"/>
      <c r="C109" s="3"/>
      <c r="D109" s="3"/>
      <c r="E109" s="3"/>
      <c r="F109" s="152" t="s">
        <v>85</v>
      </c>
      <c r="G109" s="141" t="s">
        <v>97</v>
      </c>
      <c r="H109" s="141"/>
      <c r="I109" s="153">
        <v>0</v>
      </c>
      <c r="J109" s="33"/>
      <c r="K109" s="33"/>
      <c r="L109" s="33"/>
      <c r="M109" s="141" t="s">
        <v>98</v>
      </c>
      <c r="N109" s="141"/>
      <c r="O109" s="154">
        <v>0</v>
      </c>
      <c r="P109" s="33"/>
      <c r="Q109" s="33" t="s">
        <v>79</v>
      </c>
      <c r="R109" s="152" t="s">
        <v>85</v>
      </c>
      <c r="S109" s="141">
        <f>IF(AF98=R111,M98,IF(AF99=R111,M99,"ERROR"))</f>
        <v>-58.34852942850405</v>
      </c>
      <c r="T109" s="141"/>
      <c r="U109" s="141"/>
      <c r="V109" s="141"/>
      <c r="W109" s="141"/>
      <c r="X109" s="154">
        <v>0</v>
      </c>
      <c r="Y109" s="33"/>
      <c r="Z109" s="33" t="s">
        <v>78</v>
      </c>
      <c r="AA109" s="152" t="s">
        <v>85</v>
      </c>
      <c r="AB109" s="141">
        <f>Z68</f>
        <v>33.47090843855432</v>
      </c>
      <c r="AC109" s="141"/>
      <c r="AD109" s="141"/>
      <c r="AE109" s="141"/>
      <c r="AF109" s="141"/>
      <c r="AG109" s="154">
        <v>0</v>
      </c>
      <c r="AH109" s="3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</row>
    <row r="110" spans="1:45" ht="18" customHeight="1">
      <c r="A110" s="3"/>
      <c r="B110" s="3"/>
      <c r="C110" s="3"/>
      <c r="D110" s="3"/>
      <c r="E110" s="3"/>
      <c r="F110" s="33"/>
      <c r="G110" s="144" t="s">
        <v>99</v>
      </c>
      <c r="H110" s="144"/>
      <c r="I110" s="33"/>
      <c r="J110" s="33"/>
      <c r="K110" s="33"/>
      <c r="L110" s="33"/>
      <c r="M110" s="144" t="s">
        <v>100</v>
      </c>
      <c r="N110" s="144"/>
      <c r="O110" s="33"/>
      <c r="P110" s="33"/>
      <c r="Q110" s="33"/>
      <c r="R110" s="33"/>
      <c r="S110" s="144">
        <f>IF(AF98=R111,W98,IF(AF99=R111,W99,"ERROR"))</f>
        <v>157.867</v>
      </c>
      <c r="T110" s="144"/>
      <c r="U110" s="144"/>
      <c r="V110" s="144"/>
      <c r="W110" s="144"/>
      <c r="X110" s="33"/>
      <c r="Y110" s="33"/>
      <c r="Z110" s="33"/>
      <c r="AA110" s="33"/>
      <c r="AB110" s="144">
        <f>AJ68</f>
        <v>120</v>
      </c>
      <c r="AC110" s="144"/>
      <c r="AD110" s="144"/>
      <c r="AE110" s="144"/>
      <c r="AF110" s="144"/>
      <c r="AG110" s="33"/>
      <c r="AH110" s="3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</row>
    <row r="111" spans="1:45" ht="18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 t="s">
        <v>79</v>
      </c>
      <c r="R111" s="33">
        <f>MAX(AF98:AF99)</f>
        <v>0.13660830972784227</v>
      </c>
      <c r="S111" s="33"/>
      <c r="T111" s="33"/>
      <c r="U111" s="33"/>
      <c r="V111" s="3" t="s">
        <v>78</v>
      </c>
      <c r="W111" s="33">
        <f>(Z68/AJ68)^2</f>
        <v>0.07779872997931157</v>
      </c>
      <c r="X111" s="33"/>
      <c r="Y111" s="33"/>
      <c r="Z111" s="33"/>
      <c r="AA111" s="3" t="s">
        <v>79</v>
      </c>
      <c r="AB111" s="33">
        <f>R111+W111</f>
        <v>0.21440703970715386</v>
      </c>
      <c r="AC111" s="33"/>
      <c r="AD111" s="33"/>
      <c r="AE111" s="33"/>
      <c r="AF111" s="3"/>
      <c r="AG111" s="3" t="str">
        <f>IF(AB111&gt;AI111,"＞","＜")</f>
        <v>＜</v>
      </c>
      <c r="AH111" s="3"/>
      <c r="AI111" s="126">
        <v>1.2</v>
      </c>
      <c r="AJ111" s="33"/>
      <c r="AK111" s="33"/>
      <c r="AL111" s="3"/>
      <c r="AM111" s="3" t="str">
        <f>IF(AB111&lt;AI111,"O.K.","N.G.")</f>
        <v>O.K.</v>
      </c>
      <c r="AN111" s="3"/>
      <c r="AO111" s="3"/>
      <c r="AP111" s="3"/>
      <c r="AQ111" s="3"/>
      <c r="AR111" s="3"/>
      <c r="AS111" s="3"/>
    </row>
    <row r="112" ht="18" customHeight="1">
      <c r="AU112" s="151"/>
    </row>
    <row r="113" spans="21:31" ht="18" customHeight="1"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</row>
  </sheetData>
  <mergeCells count="485">
    <mergeCell ref="C98:G98"/>
    <mergeCell ref="C99:G99"/>
    <mergeCell ref="AF97:AI97"/>
    <mergeCell ref="AF98:AI98"/>
    <mergeCell ref="AF99:AI99"/>
    <mergeCell ref="AB98:AE98"/>
    <mergeCell ref="AB99:AE99"/>
    <mergeCell ref="H99:L99"/>
    <mergeCell ref="M99:Q99"/>
    <mergeCell ref="R99:V99"/>
    <mergeCell ref="AN99:AQ99"/>
    <mergeCell ref="AB95:AI96"/>
    <mergeCell ref="AJ95:AQ95"/>
    <mergeCell ref="AJ96:AQ96"/>
    <mergeCell ref="AB97:AE97"/>
    <mergeCell ref="AN97:AQ97"/>
    <mergeCell ref="AJ97:AM97"/>
    <mergeCell ref="AJ98:AM98"/>
    <mergeCell ref="AJ99:AM99"/>
    <mergeCell ref="BG85:BI85"/>
    <mergeCell ref="BG86:BI86"/>
    <mergeCell ref="AN98:AQ98"/>
    <mergeCell ref="AU86:AW86"/>
    <mergeCell ref="AX86:AZ86"/>
    <mergeCell ref="BA86:BC86"/>
    <mergeCell ref="BD86:BF86"/>
    <mergeCell ref="AU85:AW85"/>
    <mergeCell ref="AX85:AZ85"/>
    <mergeCell ref="BA85:BC85"/>
    <mergeCell ref="AU83:AW83"/>
    <mergeCell ref="BG68:BI68"/>
    <mergeCell ref="BG69:BI69"/>
    <mergeCell ref="BD68:BF68"/>
    <mergeCell ref="BG70:BI70"/>
    <mergeCell ref="BG71:BI71"/>
    <mergeCell ref="BG73:BI73"/>
    <mergeCell ref="BG74:BI74"/>
    <mergeCell ref="BG75:BI75"/>
    <mergeCell ref="BG83:BI83"/>
    <mergeCell ref="BG76:BI76"/>
    <mergeCell ref="BJ81:BL81"/>
    <mergeCell ref="BG78:BI78"/>
    <mergeCell ref="BG79:BI79"/>
    <mergeCell ref="BG80:BI80"/>
    <mergeCell ref="CH80:CJ80"/>
    <mergeCell ref="CH81:CJ81"/>
    <mergeCell ref="BJ85:BL85"/>
    <mergeCell ref="BJ83:BL83"/>
    <mergeCell ref="BY81:CA81"/>
    <mergeCell ref="CB81:CD81"/>
    <mergeCell ref="CE81:CG81"/>
    <mergeCell ref="BY80:CA80"/>
    <mergeCell ref="CB80:CD80"/>
    <mergeCell ref="CE80:CG80"/>
    <mergeCell ref="BS81:BU81"/>
    <mergeCell ref="BM81:BO81"/>
    <mergeCell ref="BP81:BR81"/>
    <mergeCell ref="BJ86:BL86"/>
    <mergeCell ref="BM86:BO86"/>
    <mergeCell ref="BP86:BR86"/>
    <mergeCell ref="BS86:BU86"/>
    <mergeCell ref="BJ84:BL84"/>
    <mergeCell ref="BM84:BO84"/>
    <mergeCell ref="BP84:BR84"/>
    <mergeCell ref="BV80:BX80"/>
    <mergeCell ref="AU81:AW81"/>
    <mergeCell ref="AX81:AZ81"/>
    <mergeCell ref="BA81:BC81"/>
    <mergeCell ref="BD81:BF81"/>
    <mergeCell ref="BG81:BI81"/>
    <mergeCell ref="BV81:BX81"/>
    <mergeCell ref="BM80:BO80"/>
    <mergeCell ref="BP80:BR80"/>
    <mergeCell ref="BS80:BU80"/>
    <mergeCell ref="BS79:BU79"/>
    <mergeCell ref="AX80:AZ80"/>
    <mergeCell ref="BA80:BC80"/>
    <mergeCell ref="BD80:BF80"/>
    <mergeCell ref="BJ80:BL80"/>
    <mergeCell ref="BP79:BR79"/>
    <mergeCell ref="CH78:CJ78"/>
    <mergeCell ref="AU79:AW79"/>
    <mergeCell ref="AX79:AZ79"/>
    <mergeCell ref="BA79:BC79"/>
    <mergeCell ref="BD79:BF79"/>
    <mergeCell ref="CB79:CD79"/>
    <mergeCell ref="CE79:CG79"/>
    <mergeCell ref="BJ79:BL79"/>
    <mergeCell ref="CH79:CJ79"/>
    <mergeCell ref="BM79:BO79"/>
    <mergeCell ref="BV79:BX79"/>
    <mergeCell ref="BY79:CA79"/>
    <mergeCell ref="CB78:CD78"/>
    <mergeCell ref="CE78:CG78"/>
    <mergeCell ref="BV78:BX78"/>
    <mergeCell ref="BY78:CA78"/>
    <mergeCell ref="AB57:AF57"/>
    <mergeCell ref="M55:P55"/>
    <mergeCell ref="U55:V55"/>
    <mergeCell ref="AD55:AI55"/>
    <mergeCell ref="P56:T56"/>
    <mergeCell ref="V56:Y56"/>
    <mergeCell ref="AA56:AE56"/>
    <mergeCell ref="X55:AB55"/>
    <mergeCell ref="CE76:CG76"/>
    <mergeCell ref="BV76:BX76"/>
    <mergeCell ref="AU78:AW78"/>
    <mergeCell ref="AX78:AZ78"/>
    <mergeCell ref="BA78:BC78"/>
    <mergeCell ref="BD78:BF78"/>
    <mergeCell ref="BJ78:BL78"/>
    <mergeCell ref="BM78:BO78"/>
    <mergeCell ref="BP78:BR78"/>
    <mergeCell ref="BS78:BU78"/>
    <mergeCell ref="AQ18:AR18"/>
    <mergeCell ref="K33:M33"/>
    <mergeCell ref="N33:P33"/>
    <mergeCell ref="Q33:T33"/>
    <mergeCell ref="U33:X33"/>
    <mergeCell ref="AD32:AI32"/>
    <mergeCell ref="AJ32:AO32"/>
    <mergeCell ref="K32:M32"/>
    <mergeCell ref="N32:P32"/>
    <mergeCell ref="Q32:T32"/>
    <mergeCell ref="CA12:CC12"/>
    <mergeCell ref="CA13:CC13"/>
    <mergeCell ref="AG12:AI12"/>
    <mergeCell ref="AG13:AI13"/>
    <mergeCell ref="CA15:CC15"/>
    <mergeCell ref="CA16:CC16"/>
    <mergeCell ref="AG18:AH18"/>
    <mergeCell ref="Y33:AC33"/>
    <mergeCell ref="AD33:AI33"/>
    <mergeCell ref="AC26:AF26"/>
    <mergeCell ref="AG26:AL26"/>
    <mergeCell ref="AJ33:AO33"/>
    <mergeCell ref="AJ31:AO31"/>
    <mergeCell ref="Y32:AC32"/>
    <mergeCell ref="F13:H13"/>
    <mergeCell ref="N13:S13"/>
    <mergeCell ref="CA14:CC14"/>
    <mergeCell ref="X13:Z13"/>
    <mergeCell ref="CH86:CJ86"/>
    <mergeCell ref="BV86:BX86"/>
    <mergeCell ref="BY86:CA86"/>
    <mergeCell ref="CB86:CD86"/>
    <mergeCell ref="CE86:CG86"/>
    <mergeCell ref="BD85:BF85"/>
    <mergeCell ref="CH84:CJ84"/>
    <mergeCell ref="BM85:BO85"/>
    <mergeCell ref="BP85:BR85"/>
    <mergeCell ref="BS85:BU85"/>
    <mergeCell ref="BV85:BX85"/>
    <mergeCell ref="BY85:CA85"/>
    <mergeCell ref="CB85:CD85"/>
    <mergeCell ref="CE85:CG85"/>
    <mergeCell ref="CH85:CJ85"/>
    <mergeCell ref="BV84:BX84"/>
    <mergeCell ref="BY84:CA84"/>
    <mergeCell ref="CB84:CD84"/>
    <mergeCell ref="CE84:CG84"/>
    <mergeCell ref="BS84:BU84"/>
    <mergeCell ref="AU84:AW84"/>
    <mergeCell ref="AX84:AZ84"/>
    <mergeCell ref="BA84:BC84"/>
    <mergeCell ref="BD84:BF84"/>
    <mergeCell ref="BG84:BI84"/>
    <mergeCell ref="BY83:CA83"/>
    <mergeCell ref="CB83:CD83"/>
    <mergeCell ref="CE83:CG83"/>
    <mergeCell ref="CH83:CJ83"/>
    <mergeCell ref="AU80:AW80"/>
    <mergeCell ref="BY76:CA76"/>
    <mergeCell ref="CB76:CD76"/>
    <mergeCell ref="BM83:BO83"/>
    <mergeCell ref="BP83:BR83"/>
    <mergeCell ref="BS83:BU83"/>
    <mergeCell ref="AX83:AZ83"/>
    <mergeCell ref="BA83:BC83"/>
    <mergeCell ref="BD83:BF83"/>
    <mergeCell ref="BV83:BX83"/>
    <mergeCell ref="CH76:CJ76"/>
    <mergeCell ref="CH75:CJ75"/>
    <mergeCell ref="AU76:AW76"/>
    <mergeCell ref="AX76:AZ76"/>
    <mergeCell ref="BA76:BC76"/>
    <mergeCell ref="BD76:BF76"/>
    <mergeCell ref="BJ76:BL76"/>
    <mergeCell ref="BM76:BO76"/>
    <mergeCell ref="BP76:BR76"/>
    <mergeCell ref="BS76:BU76"/>
    <mergeCell ref="BV75:BX75"/>
    <mergeCell ref="BY75:CA75"/>
    <mergeCell ref="CB75:CD75"/>
    <mergeCell ref="CE75:CG75"/>
    <mergeCell ref="BJ75:BL75"/>
    <mergeCell ref="BM75:BO75"/>
    <mergeCell ref="BP75:BR75"/>
    <mergeCell ref="BS75:BU75"/>
    <mergeCell ref="AU75:AW75"/>
    <mergeCell ref="AX75:AZ75"/>
    <mergeCell ref="BA75:BC75"/>
    <mergeCell ref="BD75:BF75"/>
    <mergeCell ref="BY74:CA74"/>
    <mergeCell ref="CB74:CD74"/>
    <mergeCell ref="CE74:CG74"/>
    <mergeCell ref="CH74:CJ74"/>
    <mergeCell ref="CH73:CJ73"/>
    <mergeCell ref="AU74:AW74"/>
    <mergeCell ref="AX74:AZ74"/>
    <mergeCell ref="BA74:BC74"/>
    <mergeCell ref="BD74:BF74"/>
    <mergeCell ref="BJ74:BL74"/>
    <mergeCell ref="BM74:BO74"/>
    <mergeCell ref="BP74:BR74"/>
    <mergeCell ref="BS74:BU74"/>
    <mergeCell ref="BV74:BX74"/>
    <mergeCell ref="BV73:BX73"/>
    <mergeCell ref="BY73:CA73"/>
    <mergeCell ref="CB73:CD73"/>
    <mergeCell ref="CE73:CG73"/>
    <mergeCell ref="CH71:CJ71"/>
    <mergeCell ref="AU73:AW73"/>
    <mergeCell ref="AX73:AZ73"/>
    <mergeCell ref="BA73:BC73"/>
    <mergeCell ref="BD73:BF73"/>
    <mergeCell ref="BJ73:BL73"/>
    <mergeCell ref="BM73:BO73"/>
    <mergeCell ref="BP73:BR73"/>
    <mergeCell ref="BS73:BU73"/>
    <mergeCell ref="BV71:BX71"/>
    <mergeCell ref="BY71:CA71"/>
    <mergeCell ref="CB71:CD71"/>
    <mergeCell ref="CE71:CG71"/>
    <mergeCell ref="BJ71:BL71"/>
    <mergeCell ref="BM71:BO71"/>
    <mergeCell ref="BP71:BR71"/>
    <mergeCell ref="BS71:BU71"/>
    <mergeCell ref="AU71:AW71"/>
    <mergeCell ref="AX71:AZ71"/>
    <mergeCell ref="BA71:BC71"/>
    <mergeCell ref="BD71:BF71"/>
    <mergeCell ref="BY70:CA70"/>
    <mergeCell ref="CB70:CD70"/>
    <mergeCell ref="CE70:CG70"/>
    <mergeCell ref="CH70:CJ70"/>
    <mergeCell ref="CH69:CJ69"/>
    <mergeCell ref="AU70:AW70"/>
    <mergeCell ref="AX70:AZ70"/>
    <mergeCell ref="BA70:BC70"/>
    <mergeCell ref="BD70:BF70"/>
    <mergeCell ref="BJ70:BL70"/>
    <mergeCell ref="BM70:BO70"/>
    <mergeCell ref="BP70:BR70"/>
    <mergeCell ref="BS70:BU70"/>
    <mergeCell ref="BV70:BX70"/>
    <mergeCell ref="BV69:BX69"/>
    <mergeCell ref="BY69:CA69"/>
    <mergeCell ref="CB69:CD69"/>
    <mergeCell ref="CE69:CG69"/>
    <mergeCell ref="CE68:CG68"/>
    <mergeCell ref="CH68:CJ68"/>
    <mergeCell ref="AU69:AW69"/>
    <mergeCell ref="AX69:AZ69"/>
    <mergeCell ref="BA69:BC69"/>
    <mergeCell ref="BD69:BF69"/>
    <mergeCell ref="BJ69:BL69"/>
    <mergeCell ref="BM69:BO69"/>
    <mergeCell ref="BP69:BR69"/>
    <mergeCell ref="BS69:BU69"/>
    <mergeCell ref="BS68:BU68"/>
    <mergeCell ref="BV68:BX68"/>
    <mergeCell ref="BY68:CA68"/>
    <mergeCell ref="CB68:CD68"/>
    <mergeCell ref="BJ68:BL68"/>
    <mergeCell ref="BM68:BO68"/>
    <mergeCell ref="BP68:BR68"/>
    <mergeCell ref="AU68:AW68"/>
    <mergeCell ref="AX68:AZ68"/>
    <mergeCell ref="BA68:BC68"/>
    <mergeCell ref="AG109:AH110"/>
    <mergeCell ref="W111:Z111"/>
    <mergeCell ref="AB111:AE111"/>
    <mergeCell ref="AI111:AK111"/>
    <mergeCell ref="X109:Y110"/>
    <mergeCell ref="Z109:Z110"/>
    <mergeCell ref="AA109:AA110"/>
    <mergeCell ref="AB109:AF109"/>
    <mergeCell ref="AB110:AF110"/>
    <mergeCell ref="R111:U111"/>
    <mergeCell ref="R109:R110"/>
    <mergeCell ref="S109:W109"/>
    <mergeCell ref="S110:W110"/>
    <mergeCell ref="M109:N109"/>
    <mergeCell ref="M110:N110"/>
    <mergeCell ref="O109:P110"/>
    <mergeCell ref="Q109:Q110"/>
    <mergeCell ref="F109:F110"/>
    <mergeCell ref="G109:H109"/>
    <mergeCell ref="G110:H110"/>
    <mergeCell ref="I109:L110"/>
    <mergeCell ref="AG104:AH105"/>
    <mergeCell ref="W106:Z106"/>
    <mergeCell ref="AB106:AE106"/>
    <mergeCell ref="AI106:AK106"/>
    <mergeCell ref="X104:Y105"/>
    <mergeCell ref="Z104:Z105"/>
    <mergeCell ref="AA104:AA105"/>
    <mergeCell ref="AB104:AF104"/>
    <mergeCell ref="AB105:AF105"/>
    <mergeCell ref="R106:U106"/>
    <mergeCell ref="R104:R105"/>
    <mergeCell ref="S104:W104"/>
    <mergeCell ref="S105:W105"/>
    <mergeCell ref="M104:N104"/>
    <mergeCell ref="M105:N105"/>
    <mergeCell ref="O104:P105"/>
    <mergeCell ref="Q104:Q105"/>
    <mergeCell ref="F104:F105"/>
    <mergeCell ref="G104:H104"/>
    <mergeCell ref="G105:H105"/>
    <mergeCell ref="I104:L105"/>
    <mergeCell ref="W99:AA99"/>
    <mergeCell ref="R97:V97"/>
    <mergeCell ref="W97:AA97"/>
    <mergeCell ref="H98:L98"/>
    <mergeCell ref="M98:Q98"/>
    <mergeCell ref="R98:V98"/>
    <mergeCell ref="W98:AA98"/>
    <mergeCell ref="C95:G97"/>
    <mergeCell ref="N90:Q90"/>
    <mergeCell ref="AA90:AD90"/>
    <mergeCell ref="J91:L91"/>
    <mergeCell ref="L92:O92"/>
    <mergeCell ref="H95:AA95"/>
    <mergeCell ref="H96:Q96"/>
    <mergeCell ref="R96:AA96"/>
    <mergeCell ref="H97:L97"/>
    <mergeCell ref="M97:Q97"/>
    <mergeCell ref="AC89:AD89"/>
    <mergeCell ref="AE88:AE89"/>
    <mergeCell ref="AF88:AH89"/>
    <mergeCell ref="AI88:AJ89"/>
    <mergeCell ref="Q88:R88"/>
    <mergeCell ref="P89:Q89"/>
    <mergeCell ref="U88:U89"/>
    <mergeCell ref="X88:Z88"/>
    <mergeCell ref="V89:W89"/>
    <mergeCell ref="Y89:AA89"/>
    <mergeCell ref="F88:G88"/>
    <mergeCell ref="E89:F89"/>
    <mergeCell ref="J88:J89"/>
    <mergeCell ref="K88:O89"/>
    <mergeCell ref="O87:Q87"/>
    <mergeCell ref="S87:T87"/>
    <mergeCell ref="AF87:AI87"/>
    <mergeCell ref="AC86:AD86"/>
    <mergeCell ref="AE85:AE86"/>
    <mergeCell ref="AF85:AH86"/>
    <mergeCell ref="AI85:AJ86"/>
    <mergeCell ref="Q85:R85"/>
    <mergeCell ref="P86:Q86"/>
    <mergeCell ref="U85:U86"/>
    <mergeCell ref="X85:Z85"/>
    <mergeCell ref="V86:W86"/>
    <mergeCell ref="Y86:AA86"/>
    <mergeCell ref="F85:G85"/>
    <mergeCell ref="E86:F86"/>
    <mergeCell ref="J85:J86"/>
    <mergeCell ref="K85:O86"/>
    <mergeCell ref="AF82:AG83"/>
    <mergeCell ref="O84:R84"/>
    <mergeCell ref="T82:V82"/>
    <mergeCell ref="R83:S83"/>
    <mergeCell ref="U83:W83"/>
    <mergeCell ref="Y83:Z83"/>
    <mergeCell ref="AA82:AB83"/>
    <mergeCell ref="AC82:AE83"/>
    <mergeCell ref="E82:I83"/>
    <mergeCell ref="K82:L82"/>
    <mergeCell ref="J83:K83"/>
    <mergeCell ref="P82:P83"/>
    <mergeCell ref="H80:K80"/>
    <mergeCell ref="S79:V79"/>
    <mergeCell ref="S81:V81"/>
    <mergeCell ref="V72:W72"/>
    <mergeCell ref="AF72:AI72"/>
    <mergeCell ref="S65:W65"/>
    <mergeCell ref="E72:G72"/>
    <mergeCell ref="J72:K72"/>
    <mergeCell ref="M72:N72"/>
    <mergeCell ref="Q72:S72"/>
    <mergeCell ref="Y72:Z72"/>
    <mergeCell ref="AC72:AD72"/>
    <mergeCell ref="AJ68:AL68"/>
    <mergeCell ref="N63:R63"/>
    <mergeCell ref="N64:R64"/>
    <mergeCell ref="M58:Q58"/>
    <mergeCell ref="M59:Q59"/>
    <mergeCell ref="S60:W60"/>
    <mergeCell ref="Z68:AC68"/>
    <mergeCell ref="Z52:AE52"/>
    <mergeCell ref="L53:P53"/>
    <mergeCell ref="R53:V53"/>
    <mergeCell ref="X53:AC53"/>
    <mergeCell ref="R52:X52"/>
    <mergeCell ref="L52:P52"/>
    <mergeCell ref="L54:P54"/>
    <mergeCell ref="R54:V54"/>
    <mergeCell ref="X54:AB54"/>
    <mergeCell ref="AD54:AI54"/>
    <mergeCell ref="AJ36:AO36"/>
    <mergeCell ref="C37:J37"/>
    <mergeCell ref="Q37:T37"/>
    <mergeCell ref="Y37:AC37"/>
    <mergeCell ref="AD37:AI37"/>
    <mergeCell ref="AJ37:AO37"/>
    <mergeCell ref="K36:M36"/>
    <mergeCell ref="N36:P36"/>
    <mergeCell ref="Q36:T36"/>
    <mergeCell ref="U36:X36"/>
    <mergeCell ref="Y36:AC36"/>
    <mergeCell ref="AD36:AI36"/>
    <mergeCell ref="AJ34:AO34"/>
    <mergeCell ref="K35:M35"/>
    <mergeCell ref="N35:P35"/>
    <mergeCell ref="Q35:T35"/>
    <mergeCell ref="U35:X35"/>
    <mergeCell ref="Y35:AC35"/>
    <mergeCell ref="AD35:AI35"/>
    <mergeCell ref="AJ35:AO35"/>
    <mergeCell ref="K34:M34"/>
    <mergeCell ref="N34:P34"/>
    <mergeCell ref="Y31:AC31"/>
    <mergeCell ref="AD31:AI31"/>
    <mergeCell ref="Q31:T31"/>
    <mergeCell ref="U31:X31"/>
    <mergeCell ref="Y34:AC34"/>
    <mergeCell ref="AD34:AI34"/>
    <mergeCell ref="Q34:T34"/>
    <mergeCell ref="U34:X34"/>
    <mergeCell ref="U32:X32"/>
    <mergeCell ref="K31:M31"/>
    <mergeCell ref="N31:P31"/>
    <mergeCell ref="AC27:AF27"/>
    <mergeCell ref="AG27:AL27"/>
    <mergeCell ref="U30:X30"/>
    <mergeCell ref="Y30:AC30"/>
    <mergeCell ref="AD30:AI30"/>
    <mergeCell ref="AJ30:AO30"/>
    <mergeCell ref="C30:J30"/>
    <mergeCell ref="K30:M30"/>
    <mergeCell ref="N30:P30"/>
    <mergeCell ref="Q30:T30"/>
    <mergeCell ref="AC25:AF25"/>
    <mergeCell ref="AG25:AL25"/>
    <mergeCell ref="AC23:AF23"/>
    <mergeCell ref="AG23:AL23"/>
    <mergeCell ref="AC24:AF24"/>
    <mergeCell ref="AG24:AL24"/>
    <mergeCell ref="AC22:AF22"/>
    <mergeCell ref="AG22:AL22"/>
    <mergeCell ref="AM12:AO12"/>
    <mergeCell ref="AC21:AF21"/>
    <mergeCell ref="AG21:AL21"/>
    <mergeCell ref="AG14:AI14"/>
    <mergeCell ref="AG15:AI15"/>
    <mergeCell ref="AG17:AI17"/>
    <mergeCell ref="AG16:AI16"/>
    <mergeCell ref="AN18:AO18"/>
    <mergeCell ref="G3:H3"/>
    <mergeCell ref="AG8:AI8"/>
    <mergeCell ref="AG10:AI10"/>
    <mergeCell ref="D20:AB20"/>
    <mergeCell ref="AC20:AF20"/>
    <mergeCell ref="AG20:AL20"/>
    <mergeCell ref="M11:R11"/>
    <mergeCell ref="M3:N3"/>
    <mergeCell ref="V3:X3"/>
    <mergeCell ref="AJ18:AK18"/>
    <mergeCell ref="AM10:AO10"/>
    <mergeCell ref="AG7:AI7"/>
    <mergeCell ref="AM7:AO7"/>
    <mergeCell ref="AG4:AJ4"/>
    <mergeCell ref="AG6:AI6"/>
  </mergeCells>
  <printOptions/>
  <pageMargins left="0.551181102362205" right="0.551181102362205" top="0.9842519685039375" bottom="0.9842519685039375" header="0.5" footer="0.5"/>
  <pageSetup horizontalDpi="600" verticalDpi="60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J696"/>
  <sheetViews>
    <sheetView zoomScaleSheetLayoutView="100" workbookViewId="0" topLeftCell="A1">
      <selection activeCell="A1" sqref="A1:IV16384"/>
    </sheetView>
  </sheetViews>
  <sheetFormatPr defaultColWidth="8.88671875" defaultRowHeight="18" customHeight="1"/>
  <cols>
    <col min="1" max="16384" width="1.77734375" style="162" customWidth="1"/>
  </cols>
  <sheetData>
    <row r="1" ht="18" customHeight="1">
      <c r="A1" s="161" t="s">
        <v>0</v>
      </c>
    </row>
    <row r="2" spans="46:51" ht="18" customHeight="1">
      <c r="AT2" s="11"/>
      <c r="AU2" s="11"/>
      <c r="AV2" s="11"/>
      <c r="AW2" s="11"/>
      <c r="AX2" s="11"/>
      <c r="AY2" s="11"/>
    </row>
    <row r="3" spans="2:25" s="53" customFormat="1" ht="18" customHeight="1">
      <c r="B3" s="54" t="s">
        <v>278</v>
      </c>
      <c r="E3" s="55">
        <v>1</v>
      </c>
      <c r="F3" s="55"/>
      <c r="G3" s="53" t="s">
        <v>63</v>
      </c>
      <c r="K3" s="53" t="s">
        <v>109</v>
      </c>
      <c r="M3" s="55">
        <v>18</v>
      </c>
      <c r="N3" s="55"/>
      <c r="O3" s="53" t="s">
        <v>64</v>
      </c>
      <c r="V3" s="56">
        <v>0.638</v>
      </c>
      <c r="W3" s="56"/>
      <c r="X3" s="56"/>
      <c r="Y3" s="53" t="s">
        <v>65</v>
      </c>
    </row>
    <row r="4" spans="1:70" ht="18" customHeight="1">
      <c r="A4" s="163" t="s">
        <v>110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 t="s">
        <v>111</v>
      </c>
      <c r="AA4" s="11"/>
      <c r="AB4" s="11"/>
      <c r="AC4" s="11"/>
      <c r="AD4" s="11"/>
      <c r="AE4" s="11"/>
      <c r="AF4" s="11"/>
      <c r="AG4" s="58" t="s">
        <v>11</v>
      </c>
      <c r="AH4" s="59"/>
      <c r="AI4" s="59"/>
      <c r="AJ4" s="59"/>
      <c r="AK4" s="60" t="s">
        <v>1</v>
      </c>
      <c r="AL4" s="11"/>
      <c r="AM4" s="11"/>
      <c r="AN4" s="11"/>
      <c r="AO4" s="11"/>
      <c r="AP4" s="11"/>
      <c r="AQ4" s="11"/>
      <c r="AT4" s="11"/>
      <c r="AU4" s="11"/>
      <c r="AV4" s="11"/>
      <c r="AW4" s="11"/>
      <c r="AX4" s="164"/>
      <c r="AY4" s="164"/>
      <c r="AZ4" s="165"/>
      <c r="BA4" s="165"/>
      <c r="BB4" s="165"/>
      <c r="BC4" s="165"/>
      <c r="BD4" s="165"/>
      <c r="BM4" s="165"/>
      <c r="BN4" s="165"/>
      <c r="BO4" s="165"/>
      <c r="BP4" s="165"/>
      <c r="BQ4" s="165"/>
      <c r="BR4" s="165"/>
    </row>
    <row r="5" spans="1:70" ht="18" customHeight="1">
      <c r="A5" s="11"/>
      <c r="B5" s="11"/>
      <c r="C5" s="11"/>
      <c r="D5" s="11"/>
      <c r="E5" s="164"/>
      <c r="F5" s="164"/>
      <c r="G5" s="164"/>
      <c r="H5" s="164"/>
      <c r="I5" s="164"/>
      <c r="J5" s="164"/>
      <c r="K5" s="164"/>
      <c r="M5" s="165"/>
      <c r="N5" s="165"/>
      <c r="O5" s="165"/>
      <c r="P5" s="165"/>
      <c r="Q5" s="165"/>
      <c r="R5" s="165"/>
      <c r="S5" s="165"/>
      <c r="T5" s="164"/>
      <c r="U5" s="164"/>
      <c r="V5" s="164"/>
      <c r="W5" s="164"/>
      <c r="X5" s="164"/>
      <c r="Y5" s="164"/>
      <c r="Z5" s="11"/>
      <c r="AA5" s="11"/>
      <c r="AB5" s="11"/>
      <c r="AC5" s="11"/>
      <c r="AD5" s="11"/>
      <c r="AT5" s="11"/>
      <c r="AU5" s="11"/>
      <c r="AV5" s="11"/>
      <c r="AW5" s="11"/>
      <c r="AX5" s="164"/>
      <c r="AY5" s="164"/>
      <c r="AZ5" s="165"/>
      <c r="BA5" s="165"/>
      <c r="BB5" s="165"/>
      <c r="BC5" s="165"/>
      <c r="BD5" s="165"/>
      <c r="BM5" s="165"/>
      <c r="BN5" s="165"/>
      <c r="BO5" s="165"/>
      <c r="BP5" s="165"/>
      <c r="BQ5" s="165"/>
      <c r="BR5" s="165"/>
    </row>
    <row r="6" spans="1:51" ht="18" customHeight="1">
      <c r="A6" s="11"/>
      <c r="B6" s="11"/>
      <c r="C6" s="11"/>
      <c r="D6" s="11"/>
      <c r="E6" s="164"/>
      <c r="F6" s="164"/>
      <c r="G6" s="164"/>
      <c r="L6" s="165"/>
      <c r="M6" s="165"/>
      <c r="N6" s="165"/>
      <c r="O6" s="165"/>
      <c r="P6" s="165"/>
      <c r="Q6" s="165"/>
      <c r="R6" s="165"/>
      <c r="S6" s="165"/>
      <c r="W6" s="165"/>
      <c r="X6" s="164"/>
      <c r="Y6" s="164"/>
      <c r="Z6" s="11"/>
      <c r="AA6" s="11"/>
      <c r="AB6" s="11"/>
      <c r="AC6" s="11"/>
      <c r="AD6" s="11"/>
      <c r="AE6" s="163" t="s">
        <v>66</v>
      </c>
      <c r="AF6" s="11"/>
      <c r="AG6" s="58">
        <v>2.6</v>
      </c>
      <c r="AH6" s="58"/>
      <c r="AI6" s="58"/>
      <c r="AJ6" s="11" t="s">
        <v>65</v>
      </c>
      <c r="AK6" s="11"/>
      <c r="AL6" s="11"/>
      <c r="AM6" s="11"/>
      <c r="AN6" s="11"/>
      <c r="AO6" s="11"/>
      <c r="AP6" s="11"/>
      <c r="AQ6" s="11"/>
      <c r="AT6" s="11"/>
      <c r="AU6" s="11"/>
      <c r="AV6" s="11"/>
      <c r="AW6" s="11"/>
      <c r="AX6" s="164"/>
      <c r="AY6" s="11"/>
    </row>
    <row r="7" spans="1:51" ht="18" customHeight="1">
      <c r="A7" s="11"/>
      <c r="B7" s="11"/>
      <c r="C7" s="11"/>
      <c r="D7" s="11"/>
      <c r="E7" s="11"/>
      <c r="F7" s="11"/>
      <c r="G7" s="11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1"/>
      <c r="X7" s="11"/>
      <c r="Y7" s="11"/>
      <c r="Z7" s="11"/>
      <c r="AA7" s="11"/>
      <c r="AB7" s="11"/>
      <c r="AC7" s="11"/>
      <c r="AD7" s="11"/>
      <c r="AE7" s="11" t="s">
        <v>112</v>
      </c>
      <c r="AF7" s="11"/>
      <c r="AG7" s="58">
        <v>1.2</v>
      </c>
      <c r="AH7" s="58"/>
      <c r="AI7" s="58"/>
      <c r="AJ7" s="11" t="s">
        <v>113</v>
      </c>
      <c r="AK7" s="11" t="s">
        <v>114</v>
      </c>
      <c r="AL7" s="11"/>
      <c r="AM7" s="58">
        <v>1.2</v>
      </c>
      <c r="AN7" s="58"/>
      <c r="AO7" s="58"/>
      <c r="AP7" s="11" t="s">
        <v>115</v>
      </c>
      <c r="AQ7" s="11"/>
      <c r="AT7" s="11"/>
      <c r="AU7" s="11"/>
      <c r="AV7" s="11"/>
      <c r="AW7" s="11"/>
      <c r="AX7" s="11"/>
      <c r="AY7" s="11"/>
    </row>
    <row r="8" spans="1:51" ht="18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C8" s="11"/>
      <c r="AD8" s="11"/>
      <c r="AE8" s="11" t="s">
        <v>116</v>
      </c>
      <c r="AF8" s="11"/>
      <c r="AG8" s="58">
        <v>2.1</v>
      </c>
      <c r="AH8" s="58"/>
      <c r="AI8" s="58"/>
      <c r="AJ8" s="11" t="s">
        <v>115</v>
      </c>
      <c r="AT8" s="11"/>
      <c r="AU8" s="11"/>
      <c r="AV8" s="11"/>
      <c r="AW8" s="11"/>
      <c r="AX8" s="11"/>
      <c r="AY8" s="11"/>
    </row>
    <row r="9" spans="1:51" ht="18" customHeight="1">
      <c r="A9" s="11"/>
      <c r="B9" s="11"/>
      <c r="C9" s="11"/>
      <c r="D9" s="11"/>
      <c r="E9" s="11"/>
      <c r="F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66"/>
      <c r="AC9" s="11"/>
      <c r="AD9" s="11"/>
      <c r="AE9" s="163" t="s">
        <v>51</v>
      </c>
      <c r="AK9" s="11"/>
      <c r="AL9" s="11"/>
      <c r="AM9" s="11"/>
      <c r="AN9" s="11"/>
      <c r="AO9" s="11"/>
      <c r="AP9" s="11"/>
      <c r="AQ9" s="11"/>
      <c r="AT9" s="11"/>
      <c r="AU9" s="11"/>
      <c r="AV9" s="11"/>
      <c r="AW9" s="11"/>
      <c r="AX9" s="11"/>
      <c r="AY9" s="11"/>
    </row>
    <row r="10" spans="1:51" ht="18" customHeight="1">
      <c r="A10" s="11"/>
      <c r="B10" s="11"/>
      <c r="C10" s="11"/>
      <c r="D10" s="11"/>
      <c r="E10" s="11"/>
      <c r="F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C10" s="11"/>
      <c r="AD10" s="11"/>
      <c r="AE10" s="163" t="s">
        <v>117</v>
      </c>
      <c r="AF10" s="11"/>
      <c r="AG10" s="51">
        <f>AG7+AM7+AG16*2</f>
        <v>2.6399999999999997</v>
      </c>
      <c r="AH10" s="51"/>
      <c r="AI10" s="51"/>
      <c r="AJ10" s="11" t="s">
        <v>113</v>
      </c>
      <c r="AK10" s="163" t="s">
        <v>118</v>
      </c>
      <c r="AL10" s="11"/>
      <c r="AM10" s="51">
        <f>AG8+AG17*2</f>
        <v>2.34</v>
      </c>
      <c r="AN10" s="51"/>
      <c r="AO10" s="51"/>
      <c r="AP10" s="11" t="s">
        <v>115</v>
      </c>
      <c r="AQ10" s="11"/>
      <c r="AT10" s="11"/>
      <c r="AU10" s="11"/>
      <c r="AV10" s="11"/>
      <c r="AW10" s="11"/>
      <c r="AX10" s="11"/>
      <c r="AY10" s="11"/>
    </row>
    <row r="11" spans="1:51" ht="18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67" t="str">
        <f>C32&amp;" - "&amp;AG18&amp;" x "&amp;AJ18</f>
        <v>5 - 150 x 14</v>
      </c>
      <c r="N11" s="167"/>
      <c r="O11" s="167"/>
      <c r="P11" s="167"/>
      <c r="Q11" s="167"/>
      <c r="R11" s="167"/>
      <c r="S11" s="11"/>
      <c r="T11" s="11"/>
      <c r="U11" s="11"/>
      <c r="V11" s="11"/>
      <c r="W11" s="11"/>
      <c r="X11" s="11"/>
      <c r="Y11" s="11"/>
      <c r="Z11" s="11"/>
      <c r="AA11" s="11"/>
      <c r="AC11" s="11"/>
      <c r="AD11" s="11"/>
      <c r="AE11" s="163" t="s">
        <v>119</v>
      </c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T11" s="11"/>
      <c r="AU11" s="11"/>
      <c r="AV11" s="11"/>
      <c r="AW11" s="11"/>
      <c r="AX11" s="11"/>
      <c r="AY11" s="11"/>
    </row>
    <row r="12" spans="1:81" ht="18" customHeight="1">
      <c r="A12" s="11"/>
      <c r="B12" s="11"/>
      <c r="C12" s="11"/>
      <c r="D12" s="11"/>
      <c r="E12" s="11"/>
      <c r="F12" s="11"/>
      <c r="G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C12" s="11"/>
      <c r="AD12" s="11"/>
      <c r="AE12" s="163" t="s">
        <v>120</v>
      </c>
      <c r="AF12" s="11"/>
      <c r="AG12" s="58">
        <v>2.64</v>
      </c>
      <c r="AH12" s="58"/>
      <c r="AI12" s="58"/>
      <c r="AJ12" s="11" t="s">
        <v>113</v>
      </c>
      <c r="AK12" s="163" t="s">
        <v>121</v>
      </c>
      <c r="AL12" s="11"/>
      <c r="AM12" s="58">
        <v>2.34</v>
      </c>
      <c r="AN12" s="58"/>
      <c r="AO12" s="58"/>
      <c r="AP12" s="11" t="s">
        <v>115</v>
      </c>
      <c r="AQ12" s="11"/>
      <c r="AT12" s="11"/>
      <c r="AU12" s="11"/>
      <c r="AV12" s="11"/>
      <c r="AW12" s="11"/>
      <c r="AX12" s="11"/>
      <c r="AY12" s="11"/>
      <c r="CA12" s="168"/>
      <c r="CB12" s="168"/>
      <c r="CC12" s="168"/>
    </row>
    <row r="13" spans="1:81" ht="18" customHeight="1">
      <c r="A13" s="11"/>
      <c r="B13" s="11"/>
      <c r="C13" s="11"/>
      <c r="D13" s="169" t="s">
        <v>279</v>
      </c>
      <c r="E13" s="169"/>
      <c r="F13" s="170">
        <f>DEGREES(ATAN((AG7-AG8/2)/AG6))</f>
        <v>3.301865674435001</v>
      </c>
      <c r="G13" s="170"/>
      <c r="H13" s="170"/>
      <c r="I13" s="69" t="s">
        <v>122</v>
      </c>
      <c r="J13" s="11"/>
      <c r="K13" s="11"/>
      <c r="L13" s="11"/>
      <c r="M13" s="11"/>
      <c r="N13" s="167" t="str">
        <f>C35&amp;" - "&amp;AN18&amp;" x "&amp;AQ18</f>
        <v>2 - 150 x 14</v>
      </c>
      <c r="O13" s="167"/>
      <c r="P13" s="167"/>
      <c r="Q13" s="167"/>
      <c r="R13" s="167"/>
      <c r="S13" s="167"/>
      <c r="T13" s="11"/>
      <c r="U13" s="11"/>
      <c r="V13" s="169" t="s">
        <v>280</v>
      </c>
      <c r="W13" s="169"/>
      <c r="X13" s="170">
        <f>DEGREES(ATAN((AM7-AG8/2)/AG6))</f>
        <v>3.301865674435001</v>
      </c>
      <c r="Y13" s="170"/>
      <c r="Z13" s="170"/>
      <c r="AA13" s="69" t="s">
        <v>122</v>
      </c>
      <c r="AB13" s="11"/>
      <c r="AC13" s="11"/>
      <c r="AD13" s="11"/>
      <c r="AE13" s="163" t="s">
        <v>67</v>
      </c>
      <c r="AF13" s="11"/>
      <c r="AG13" s="58">
        <v>0.012</v>
      </c>
      <c r="AH13" s="58"/>
      <c r="AI13" s="58"/>
      <c r="AJ13" s="11" t="s">
        <v>65</v>
      </c>
      <c r="AK13" s="11"/>
      <c r="AL13" s="11"/>
      <c r="AM13" s="11"/>
      <c r="AN13" s="11"/>
      <c r="AO13" s="11"/>
      <c r="AP13" s="11"/>
      <c r="AQ13" s="11"/>
      <c r="AT13" s="11"/>
      <c r="AU13" s="11"/>
      <c r="AV13" s="11"/>
      <c r="AW13" s="169"/>
      <c r="AX13" s="169"/>
      <c r="AY13" s="11"/>
      <c r="CA13" s="168"/>
      <c r="CB13" s="168"/>
      <c r="CC13" s="168"/>
    </row>
    <row r="14" spans="1:81" ht="18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63" t="s">
        <v>68</v>
      </c>
      <c r="AF14" s="11"/>
      <c r="AG14" s="58">
        <v>0.012</v>
      </c>
      <c r="AH14" s="58"/>
      <c r="AI14" s="58"/>
      <c r="AJ14" s="11" t="s">
        <v>65</v>
      </c>
      <c r="AK14" s="11"/>
      <c r="AL14" s="11"/>
      <c r="AM14" s="11"/>
      <c r="AN14" s="11"/>
      <c r="AO14" s="11"/>
      <c r="AP14" s="11"/>
      <c r="AQ14" s="11"/>
      <c r="AT14" s="11"/>
      <c r="AU14" s="11"/>
      <c r="AV14" s="11"/>
      <c r="AW14" s="11"/>
      <c r="AX14" s="11"/>
      <c r="AY14" s="11"/>
      <c r="CA14" s="168"/>
      <c r="CB14" s="168"/>
      <c r="CC14" s="168"/>
    </row>
    <row r="15" spans="1:81" ht="18" customHeight="1">
      <c r="A15" s="11"/>
      <c r="B15" s="11"/>
      <c r="C15" s="11"/>
      <c r="D15" s="11"/>
      <c r="E15" s="11"/>
      <c r="F15" s="11"/>
      <c r="G15" s="11"/>
      <c r="H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63" t="s">
        <v>69</v>
      </c>
      <c r="AF15" s="11"/>
      <c r="AG15" s="58">
        <v>0.01</v>
      </c>
      <c r="AH15" s="58"/>
      <c r="AI15" s="58"/>
      <c r="AJ15" s="11" t="s">
        <v>65</v>
      </c>
      <c r="AK15" s="11"/>
      <c r="AL15" s="11"/>
      <c r="AM15" s="11"/>
      <c r="AN15" s="11"/>
      <c r="AO15" s="11"/>
      <c r="AP15" s="11"/>
      <c r="AQ15" s="11"/>
      <c r="CA15" s="168"/>
      <c r="CB15" s="168"/>
      <c r="CC15" s="168"/>
    </row>
    <row r="16" spans="1:81" ht="18" customHeight="1">
      <c r="A16" s="11"/>
      <c r="B16" s="11"/>
      <c r="E16" s="165"/>
      <c r="F16" s="165"/>
      <c r="G16" s="165"/>
      <c r="H16" s="165"/>
      <c r="I16" s="165"/>
      <c r="J16" s="171"/>
      <c r="K16" s="165"/>
      <c r="L16" s="165"/>
      <c r="M16" s="165"/>
      <c r="N16" s="165"/>
      <c r="O16" s="165"/>
      <c r="P16" s="165"/>
      <c r="Q16" s="165"/>
      <c r="R16" s="165"/>
      <c r="S16" s="165"/>
      <c r="T16" s="172"/>
      <c r="U16" s="165"/>
      <c r="V16" s="165"/>
      <c r="AD16" s="11"/>
      <c r="AE16" s="162" t="s">
        <v>123</v>
      </c>
      <c r="AG16" s="56">
        <v>0.12</v>
      </c>
      <c r="AH16" s="56"/>
      <c r="AI16" s="56"/>
      <c r="AJ16" s="162" t="s">
        <v>65</v>
      </c>
      <c r="AK16" s="11"/>
      <c r="AL16" s="11"/>
      <c r="AM16" s="11"/>
      <c r="AN16" s="11"/>
      <c r="AO16" s="11"/>
      <c r="AP16" s="11"/>
      <c r="AQ16" s="11"/>
      <c r="AX16" s="165"/>
      <c r="CA16" s="168"/>
      <c r="CB16" s="168"/>
      <c r="CC16" s="168"/>
    </row>
    <row r="17" spans="5:50" ht="18" customHeight="1">
      <c r="E17" s="165"/>
      <c r="F17" s="165"/>
      <c r="G17" s="165"/>
      <c r="H17" s="165"/>
      <c r="I17" s="165"/>
      <c r="J17" s="165"/>
      <c r="K17" s="165"/>
      <c r="N17" s="165"/>
      <c r="O17" s="165"/>
      <c r="P17" s="165"/>
      <c r="Q17" s="165"/>
      <c r="R17" s="165"/>
      <c r="S17" s="165"/>
      <c r="T17" s="165"/>
      <c r="U17" s="165"/>
      <c r="V17" s="165"/>
      <c r="AE17" s="162" t="s">
        <v>124</v>
      </c>
      <c r="AG17" s="56">
        <v>0.12</v>
      </c>
      <c r="AH17" s="56"/>
      <c r="AI17" s="56"/>
      <c r="AJ17" s="162" t="s">
        <v>65</v>
      </c>
      <c r="AX17" s="165"/>
    </row>
    <row r="18" spans="31:45" ht="18" customHeight="1">
      <c r="AE18" s="162" t="s">
        <v>70</v>
      </c>
      <c r="AG18" s="55">
        <v>150</v>
      </c>
      <c r="AH18" s="55"/>
      <c r="AI18" s="173" t="s">
        <v>125</v>
      </c>
      <c r="AJ18" s="55">
        <v>14</v>
      </c>
      <c r="AK18" s="55"/>
      <c r="AL18" s="162" t="s">
        <v>71</v>
      </c>
      <c r="AM18" s="162" t="s">
        <v>113</v>
      </c>
      <c r="AN18" s="55">
        <v>150</v>
      </c>
      <c r="AO18" s="55"/>
      <c r="AP18" s="173" t="s">
        <v>125</v>
      </c>
      <c r="AQ18" s="55">
        <v>14</v>
      </c>
      <c r="AR18" s="55"/>
      <c r="AS18" s="162" t="s">
        <v>71</v>
      </c>
    </row>
    <row r="19" spans="33:83" ht="18" customHeight="1">
      <c r="AG19" s="174"/>
      <c r="AH19" s="174"/>
      <c r="AI19" s="173"/>
      <c r="AJ19" s="174"/>
      <c r="AK19" s="174"/>
      <c r="AN19" s="174"/>
      <c r="AO19" s="174"/>
      <c r="AP19" s="173"/>
      <c r="AQ19" s="174"/>
      <c r="AR19" s="174"/>
      <c r="CA19" s="174"/>
      <c r="CB19" s="173"/>
      <c r="CD19" s="174"/>
      <c r="CE19" s="173"/>
    </row>
    <row r="20" spans="4:54" ht="18" customHeight="1">
      <c r="D20" s="175" t="s">
        <v>126</v>
      </c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7"/>
      <c r="AC20" s="175" t="s">
        <v>127</v>
      </c>
      <c r="AD20" s="49"/>
      <c r="AE20" s="49"/>
      <c r="AF20" s="50"/>
      <c r="AG20" s="178" t="s">
        <v>128</v>
      </c>
      <c r="AH20" s="176"/>
      <c r="AI20" s="176"/>
      <c r="AJ20" s="176"/>
      <c r="AK20" s="176"/>
      <c r="AL20" s="177"/>
      <c r="AU20" s="11"/>
      <c r="AV20" s="11"/>
      <c r="AW20" s="11"/>
      <c r="AX20" s="11"/>
      <c r="AY20" s="11"/>
      <c r="AZ20" s="11"/>
      <c r="BA20" s="11"/>
      <c r="BB20" s="11"/>
    </row>
    <row r="21" spans="4:54" ht="18" customHeight="1">
      <c r="D21" s="179" t="s">
        <v>129</v>
      </c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1"/>
      <c r="AC21" s="182" t="s">
        <v>28</v>
      </c>
      <c r="AD21" s="182"/>
      <c r="AE21" s="182"/>
      <c r="AF21" s="182"/>
      <c r="AG21" s="82">
        <v>200000</v>
      </c>
      <c r="AH21" s="83"/>
      <c r="AI21" s="83"/>
      <c r="AJ21" s="83"/>
      <c r="AK21" s="83"/>
      <c r="AL21" s="84"/>
      <c r="AU21" s="11"/>
      <c r="AV21" s="11"/>
      <c r="AW21" s="11"/>
      <c r="AX21" s="11"/>
      <c r="AY21" s="11"/>
      <c r="AZ21" s="11"/>
      <c r="BA21" s="11"/>
      <c r="BB21" s="11"/>
    </row>
    <row r="22" spans="4:54" ht="18" customHeight="1">
      <c r="D22" s="179" t="s">
        <v>52</v>
      </c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1"/>
      <c r="AC22" s="183" t="s">
        <v>130</v>
      </c>
      <c r="AD22" s="182"/>
      <c r="AE22" s="182"/>
      <c r="AF22" s="184"/>
      <c r="AG22" s="87">
        <v>4978.602</v>
      </c>
      <c r="AH22" s="88"/>
      <c r="AI22" s="88"/>
      <c r="AJ22" s="88"/>
      <c r="AK22" s="88"/>
      <c r="AL22" s="89"/>
      <c r="AU22" s="11"/>
      <c r="AV22" s="11"/>
      <c r="AW22" s="11"/>
      <c r="AX22" s="11"/>
      <c r="AY22" s="11"/>
      <c r="AZ22" s="11"/>
      <c r="BA22" s="11"/>
      <c r="BB22" s="11"/>
    </row>
    <row r="23" spans="4:54" ht="18" customHeight="1">
      <c r="D23" s="179" t="s">
        <v>102</v>
      </c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1"/>
      <c r="AC23" s="183" t="s">
        <v>130</v>
      </c>
      <c r="AD23" s="182"/>
      <c r="AE23" s="182"/>
      <c r="AF23" s="184"/>
      <c r="AG23" s="87">
        <v>2979.459</v>
      </c>
      <c r="AH23" s="88"/>
      <c r="AI23" s="88"/>
      <c r="AJ23" s="88"/>
      <c r="AK23" s="88"/>
      <c r="AL23" s="89"/>
      <c r="AU23" s="11"/>
      <c r="AV23" s="11"/>
      <c r="AW23" s="11"/>
      <c r="AX23" s="11"/>
      <c r="AY23" s="11"/>
      <c r="AZ23" s="11"/>
      <c r="BA23" s="11"/>
      <c r="BB23" s="11"/>
    </row>
    <row r="24" spans="4:54" ht="18" customHeight="1">
      <c r="D24" s="179" t="s">
        <v>53</v>
      </c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1"/>
      <c r="AC24" s="183" t="s">
        <v>131</v>
      </c>
      <c r="AD24" s="182"/>
      <c r="AE24" s="182"/>
      <c r="AF24" s="184"/>
      <c r="AG24" s="87">
        <v>197.858</v>
      </c>
      <c r="AH24" s="88"/>
      <c r="AI24" s="88"/>
      <c r="AJ24" s="88"/>
      <c r="AK24" s="88"/>
      <c r="AL24" s="89"/>
      <c r="AU24" s="11"/>
      <c r="AV24" s="11"/>
      <c r="AW24" s="11"/>
      <c r="AX24" s="11"/>
      <c r="AY24" s="11"/>
      <c r="AZ24" s="11"/>
      <c r="BA24" s="11"/>
      <c r="BB24" s="11"/>
    </row>
    <row r="25" spans="4:54" ht="18" customHeight="1">
      <c r="D25" s="179" t="s">
        <v>103</v>
      </c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1"/>
      <c r="AC25" s="183" t="s">
        <v>131</v>
      </c>
      <c r="AD25" s="182"/>
      <c r="AE25" s="182"/>
      <c r="AF25" s="184"/>
      <c r="AG25" s="87">
        <v>310.672</v>
      </c>
      <c r="AH25" s="88"/>
      <c r="AI25" s="88"/>
      <c r="AJ25" s="88"/>
      <c r="AK25" s="88"/>
      <c r="AL25" s="89"/>
      <c r="AU25" s="11"/>
      <c r="AV25" s="11"/>
      <c r="AW25" s="11"/>
      <c r="AX25" s="11"/>
      <c r="AY25" s="11"/>
      <c r="AZ25" s="11"/>
      <c r="BA25" s="11"/>
      <c r="BB25" s="11"/>
    </row>
    <row r="26" spans="4:54" ht="18" customHeight="1">
      <c r="D26" s="179" t="s">
        <v>54</v>
      </c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1"/>
      <c r="AC26" s="183" t="s">
        <v>130</v>
      </c>
      <c r="AD26" s="182"/>
      <c r="AE26" s="182"/>
      <c r="AF26" s="184"/>
      <c r="AG26" s="87">
        <v>-265.832</v>
      </c>
      <c r="AH26" s="88"/>
      <c r="AI26" s="88"/>
      <c r="AJ26" s="88"/>
      <c r="AK26" s="88"/>
      <c r="AL26" s="89"/>
      <c r="AU26" s="11"/>
      <c r="AV26" s="11"/>
      <c r="AW26" s="11"/>
      <c r="AX26" s="11"/>
      <c r="AY26" s="11"/>
      <c r="AZ26" s="11"/>
      <c r="BA26" s="11"/>
      <c r="BB26" s="11"/>
    </row>
    <row r="27" spans="4:54" ht="18" customHeight="1">
      <c r="D27" s="179" t="s">
        <v>104</v>
      </c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1"/>
      <c r="AC27" s="183" t="s">
        <v>130</v>
      </c>
      <c r="AD27" s="182"/>
      <c r="AE27" s="182"/>
      <c r="AF27" s="184"/>
      <c r="AG27" s="87">
        <v>-322.626</v>
      </c>
      <c r="AH27" s="88"/>
      <c r="AI27" s="88"/>
      <c r="AJ27" s="88"/>
      <c r="AK27" s="88"/>
      <c r="AL27" s="89"/>
      <c r="AU27" s="11"/>
      <c r="AV27" s="11"/>
      <c r="AW27" s="11"/>
      <c r="AX27" s="11"/>
      <c r="AY27" s="11"/>
      <c r="AZ27" s="11"/>
      <c r="BA27" s="11"/>
      <c r="BB27" s="11"/>
    </row>
    <row r="28" spans="47:54" ht="18" customHeight="1">
      <c r="AU28" s="11"/>
      <c r="AV28" s="11"/>
      <c r="AW28" s="11"/>
      <c r="AX28" s="11"/>
      <c r="AY28" s="11"/>
      <c r="AZ28" s="11"/>
      <c r="BA28" s="11"/>
      <c r="BB28" s="11"/>
    </row>
    <row r="29" spans="4:54" ht="18" customHeight="1">
      <c r="D29" s="162" t="s">
        <v>132</v>
      </c>
      <c r="AU29" s="11"/>
      <c r="AV29" s="11"/>
      <c r="AW29" s="11"/>
      <c r="AX29" s="11"/>
      <c r="AY29" s="11"/>
      <c r="AZ29" s="11"/>
      <c r="BA29" s="11"/>
      <c r="BB29" s="11"/>
    </row>
    <row r="30" spans="3:54" ht="18" customHeight="1">
      <c r="C30" s="175" t="s">
        <v>133</v>
      </c>
      <c r="D30" s="176"/>
      <c r="E30" s="176"/>
      <c r="F30" s="176"/>
      <c r="G30" s="176"/>
      <c r="H30" s="176"/>
      <c r="I30" s="176"/>
      <c r="J30" s="177"/>
      <c r="K30" s="178" t="s">
        <v>134</v>
      </c>
      <c r="L30" s="176"/>
      <c r="M30" s="177"/>
      <c r="N30" s="178" t="s">
        <v>135</v>
      </c>
      <c r="O30" s="176"/>
      <c r="P30" s="177"/>
      <c r="Q30" s="178" t="s">
        <v>136</v>
      </c>
      <c r="R30" s="176"/>
      <c r="S30" s="176"/>
      <c r="T30" s="177"/>
      <c r="U30" s="178" t="s">
        <v>137</v>
      </c>
      <c r="V30" s="176"/>
      <c r="W30" s="176"/>
      <c r="X30" s="177"/>
      <c r="Y30" s="178" t="s">
        <v>138</v>
      </c>
      <c r="Z30" s="176"/>
      <c r="AA30" s="176"/>
      <c r="AB30" s="176"/>
      <c r="AC30" s="177"/>
      <c r="AD30" s="178" t="s">
        <v>29</v>
      </c>
      <c r="AE30" s="176"/>
      <c r="AF30" s="176"/>
      <c r="AG30" s="176"/>
      <c r="AH30" s="176"/>
      <c r="AI30" s="177"/>
      <c r="AJ30" s="178" t="s">
        <v>30</v>
      </c>
      <c r="AK30" s="176"/>
      <c r="AL30" s="176"/>
      <c r="AM30" s="176"/>
      <c r="AN30" s="176"/>
      <c r="AO30" s="177"/>
      <c r="AU30" s="11"/>
      <c r="AV30" s="11"/>
      <c r="AW30" s="11"/>
      <c r="AX30" s="11"/>
      <c r="AY30" s="11"/>
      <c r="AZ30" s="11"/>
      <c r="BA30" s="11"/>
      <c r="BB30" s="11"/>
    </row>
    <row r="31" spans="3:54" ht="18" customHeight="1">
      <c r="C31" s="185">
        <v>1</v>
      </c>
      <c r="D31" s="180" t="s">
        <v>72</v>
      </c>
      <c r="E31" s="180" t="s">
        <v>73</v>
      </c>
      <c r="F31" s="180"/>
      <c r="G31" s="180"/>
      <c r="H31" s="180"/>
      <c r="I31" s="180"/>
      <c r="J31" s="181"/>
      <c r="K31" s="186">
        <f>AG12*1000</f>
        <v>2640</v>
      </c>
      <c r="L31" s="187"/>
      <c r="M31" s="188"/>
      <c r="N31" s="186">
        <f>AG13*1000</f>
        <v>12</v>
      </c>
      <c r="O31" s="187"/>
      <c r="P31" s="188"/>
      <c r="Q31" s="189">
        <f aca="true" t="shared" si="0" ref="Q31:Q36">C31*K31*N31</f>
        <v>31680</v>
      </c>
      <c r="R31" s="190"/>
      <c r="S31" s="190"/>
      <c r="T31" s="191"/>
      <c r="U31" s="192">
        <f>-(N31+AG6*1000)/2</f>
        <v>-1306</v>
      </c>
      <c r="V31" s="193"/>
      <c r="W31" s="193"/>
      <c r="X31" s="194"/>
      <c r="Y31" s="189">
        <f aca="true" t="shared" si="1" ref="Y31:Y36">Q31*U31</f>
        <v>-41374080</v>
      </c>
      <c r="Z31" s="190"/>
      <c r="AA31" s="190"/>
      <c r="AB31" s="190"/>
      <c r="AC31" s="191"/>
      <c r="AD31" s="189">
        <f aca="true" t="shared" si="2" ref="AD31:AD36">U31*Y31</f>
        <v>54034548480</v>
      </c>
      <c r="AE31" s="190"/>
      <c r="AF31" s="190"/>
      <c r="AG31" s="190"/>
      <c r="AH31" s="190"/>
      <c r="AI31" s="191"/>
      <c r="AJ31" s="189">
        <f>C31*K31*POWER(N31,3)/12</f>
        <v>380160</v>
      </c>
      <c r="AK31" s="190"/>
      <c r="AL31" s="190"/>
      <c r="AM31" s="190"/>
      <c r="AN31" s="190"/>
      <c r="AO31" s="191"/>
      <c r="AU31" s="11"/>
      <c r="AV31" s="11"/>
      <c r="AW31" s="11"/>
      <c r="AX31" s="11"/>
      <c r="AY31" s="11"/>
      <c r="AZ31" s="11"/>
      <c r="BA31" s="11"/>
      <c r="BB31" s="11"/>
    </row>
    <row r="32" spans="3:54" ht="18" customHeight="1">
      <c r="C32" s="101">
        <v>5</v>
      </c>
      <c r="D32" s="180" t="s">
        <v>72</v>
      </c>
      <c r="E32" s="180" t="s">
        <v>74</v>
      </c>
      <c r="F32" s="180"/>
      <c r="G32" s="180"/>
      <c r="H32" s="180"/>
      <c r="I32" s="180"/>
      <c r="J32" s="181"/>
      <c r="K32" s="186">
        <f>AJ18</f>
        <v>14</v>
      </c>
      <c r="L32" s="187"/>
      <c r="M32" s="188"/>
      <c r="N32" s="186">
        <f>AG18</f>
        <v>150</v>
      </c>
      <c r="O32" s="187"/>
      <c r="P32" s="188"/>
      <c r="Q32" s="189">
        <f t="shared" si="0"/>
        <v>10500</v>
      </c>
      <c r="R32" s="190"/>
      <c r="S32" s="190"/>
      <c r="T32" s="191"/>
      <c r="U32" s="192">
        <f>-(AG6*1000-N32)/2</f>
        <v>-1225</v>
      </c>
      <c r="V32" s="193"/>
      <c r="W32" s="193"/>
      <c r="X32" s="194"/>
      <c r="Y32" s="189">
        <f t="shared" si="1"/>
        <v>-12862500</v>
      </c>
      <c r="Z32" s="190"/>
      <c r="AA32" s="190"/>
      <c r="AB32" s="190"/>
      <c r="AC32" s="191"/>
      <c r="AD32" s="189">
        <f t="shared" si="2"/>
        <v>15756562500</v>
      </c>
      <c r="AE32" s="190"/>
      <c r="AF32" s="190"/>
      <c r="AG32" s="190"/>
      <c r="AH32" s="190"/>
      <c r="AI32" s="191"/>
      <c r="AJ32" s="189">
        <f>C32*K32*POWER(N32,3)/12</f>
        <v>19687500</v>
      </c>
      <c r="AK32" s="190"/>
      <c r="AL32" s="190"/>
      <c r="AM32" s="190"/>
      <c r="AN32" s="190"/>
      <c r="AO32" s="191"/>
      <c r="AU32" s="11"/>
      <c r="AV32" s="11"/>
      <c r="AW32" s="11"/>
      <c r="AX32" s="11"/>
      <c r="AY32" s="11"/>
      <c r="AZ32" s="11"/>
      <c r="BA32" s="11"/>
      <c r="BB32" s="11"/>
    </row>
    <row r="33" spans="3:54" ht="18" customHeight="1">
      <c r="C33" s="195">
        <v>1</v>
      </c>
      <c r="D33" s="196" t="s">
        <v>72</v>
      </c>
      <c r="E33" s="196" t="s">
        <v>139</v>
      </c>
      <c r="F33" s="196"/>
      <c r="G33" s="196"/>
      <c r="H33" s="196"/>
      <c r="I33" s="196"/>
      <c r="J33" s="197"/>
      <c r="K33" s="192">
        <f>AG15*1000</f>
        <v>10</v>
      </c>
      <c r="L33" s="182"/>
      <c r="M33" s="184"/>
      <c r="N33" s="192">
        <f>AG6/COS(RADIANS(F13))*1000</f>
        <v>2604.3233286210834</v>
      </c>
      <c r="O33" s="182"/>
      <c r="P33" s="184"/>
      <c r="Q33" s="198">
        <f t="shared" si="0"/>
        <v>26043.233286210834</v>
      </c>
      <c r="R33" s="199"/>
      <c r="S33" s="199"/>
      <c r="T33" s="200"/>
      <c r="U33" s="192">
        <v>0</v>
      </c>
      <c r="V33" s="193"/>
      <c r="W33" s="193"/>
      <c r="X33" s="194"/>
      <c r="Y33" s="201">
        <f t="shared" si="1"/>
        <v>0</v>
      </c>
      <c r="Z33" s="202"/>
      <c r="AA33" s="202"/>
      <c r="AB33" s="202"/>
      <c r="AC33" s="203"/>
      <c r="AD33" s="201">
        <f t="shared" si="2"/>
        <v>0</v>
      </c>
      <c r="AE33" s="202"/>
      <c r="AF33" s="202"/>
      <c r="AG33" s="202"/>
      <c r="AH33" s="202"/>
      <c r="AI33" s="203"/>
      <c r="AJ33" s="201">
        <f>C34*K34*N34/12*((N34*COS(RADIANS(F13)))^2+(K34*SIN(RADIANS(F13)))^2)</f>
        <v>14671022137.85546</v>
      </c>
      <c r="AK33" s="202"/>
      <c r="AL33" s="202"/>
      <c r="AM33" s="202"/>
      <c r="AN33" s="202"/>
      <c r="AO33" s="203"/>
      <c r="AU33" s="11"/>
      <c r="AV33" s="11"/>
      <c r="AW33" s="11"/>
      <c r="AX33" s="11"/>
      <c r="AY33" s="11"/>
      <c r="AZ33" s="11"/>
      <c r="BA33" s="11"/>
      <c r="BB33" s="11"/>
    </row>
    <row r="34" spans="3:54" ht="18" customHeight="1">
      <c r="C34" s="195">
        <v>1</v>
      </c>
      <c r="D34" s="196" t="s">
        <v>72</v>
      </c>
      <c r="E34" s="196" t="s">
        <v>140</v>
      </c>
      <c r="F34" s="196"/>
      <c r="G34" s="196"/>
      <c r="H34" s="196"/>
      <c r="I34" s="196"/>
      <c r="J34" s="197"/>
      <c r="K34" s="192">
        <f>AG15*1000</f>
        <v>10</v>
      </c>
      <c r="L34" s="182"/>
      <c r="M34" s="184"/>
      <c r="N34" s="192">
        <f>AG6/COS(RADIANS(X13))*1000</f>
        <v>2604.3233286210834</v>
      </c>
      <c r="O34" s="182"/>
      <c r="P34" s="184"/>
      <c r="Q34" s="198">
        <f t="shared" si="0"/>
        <v>26043.233286210834</v>
      </c>
      <c r="R34" s="199"/>
      <c r="S34" s="199"/>
      <c r="T34" s="200"/>
      <c r="U34" s="192">
        <v>0</v>
      </c>
      <c r="V34" s="193"/>
      <c r="W34" s="193"/>
      <c r="X34" s="194"/>
      <c r="Y34" s="201">
        <f t="shared" si="1"/>
        <v>0</v>
      </c>
      <c r="Z34" s="202"/>
      <c r="AA34" s="202"/>
      <c r="AB34" s="202"/>
      <c r="AC34" s="203"/>
      <c r="AD34" s="201">
        <f t="shared" si="2"/>
        <v>0</v>
      </c>
      <c r="AE34" s="202"/>
      <c r="AF34" s="202"/>
      <c r="AG34" s="202"/>
      <c r="AH34" s="202"/>
      <c r="AI34" s="203"/>
      <c r="AJ34" s="201">
        <f>C34*K34*N34/12*((N34*COS(RADIANS(X13)))^2+(K34*SIN(RADIANS(X13)))^2)</f>
        <v>14671022137.85546</v>
      </c>
      <c r="AK34" s="202"/>
      <c r="AL34" s="202"/>
      <c r="AM34" s="202"/>
      <c r="AN34" s="202"/>
      <c r="AO34" s="203"/>
      <c r="AU34" s="11"/>
      <c r="AV34" s="11"/>
      <c r="AW34" s="11"/>
      <c r="AX34" s="11"/>
      <c r="AY34" s="11"/>
      <c r="AZ34" s="11"/>
      <c r="BA34" s="11"/>
      <c r="BB34" s="11"/>
    </row>
    <row r="35" spans="3:41" ht="18" customHeight="1">
      <c r="C35" s="101">
        <v>2</v>
      </c>
      <c r="D35" s="180" t="s">
        <v>72</v>
      </c>
      <c r="E35" s="180" t="s">
        <v>75</v>
      </c>
      <c r="F35" s="180"/>
      <c r="G35" s="180"/>
      <c r="H35" s="180"/>
      <c r="I35" s="180"/>
      <c r="J35" s="181"/>
      <c r="K35" s="186">
        <f>AQ18</f>
        <v>14</v>
      </c>
      <c r="L35" s="187"/>
      <c r="M35" s="188"/>
      <c r="N35" s="186">
        <f>AN18</f>
        <v>150</v>
      </c>
      <c r="O35" s="187"/>
      <c r="P35" s="188"/>
      <c r="Q35" s="189">
        <f t="shared" si="0"/>
        <v>4200</v>
      </c>
      <c r="R35" s="190"/>
      <c r="S35" s="190"/>
      <c r="T35" s="191"/>
      <c r="U35" s="192">
        <f>(AG6*1000-N35)/2</f>
        <v>1225</v>
      </c>
      <c r="V35" s="193"/>
      <c r="W35" s="193"/>
      <c r="X35" s="194"/>
      <c r="Y35" s="189">
        <f t="shared" si="1"/>
        <v>5145000</v>
      </c>
      <c r="Z35" s="190"/>
      <c r="AA35" s="190"/>
      <c r="AB35" s="190"/>
      <c r="AC35" s="191"/>
      <c r="AD35" s="189">
        <f t="shared" si="2"/>
        <v>6302625000</v>
      </c>
      <c r="AE35" s="190"/>
      <c r="AF35" s="190"/>
      <c r="AG35" s="190"/>
      <c r="AH35" s="190"/>
      <c r="AI35" s="191"/>
      <c r="AJ35" s="189">
        <f>C35*K35*POWER(N35,3)/12</f>
        <v>7875000</v>
      </c>
      <c r="AK35" s="190"/>
      <c r="AL35" s="190"/>
      <c r="AM35" s="190"/>
      <c r="AN35" s="190"/>
      <c r="AO35" s="191"/>
    </row>
    <row r="36" spans="3:41" ht="18" customHeight="1">
      <c r="C36" s="185">
        <v>1</v>
      </c>
      <c r="D36" s="180" t="s">
        <v>72</v>
      </c>
      <c r="E36" s="180" t="s">
        <v>76</v>
      </c>
      <c r="F36" s="180"/>
      <c r="G36" s="180"/>
      <c r="H36" s="180"/>
      <c r="I36" s="180"/>
      <c r="J36" s="181"/>
      <c r="K36" s="186">
        <f>AM12*1000</f>
        <v>2340</v>
      </c>
      <c r="L36" s="187"/>
      <c r="M36" s="188"/>
      <c r="N36" s="186">
        <f>AG14*1000</f>
        <v>12</v>
      </c>
      <c r="O36" s="187"/>
      <c r="P36" s="188"/>
      <c r="Q36" s="189">
        <f t="shared" si="0"/>
        <v>28080</v>
      </c>
      <c r="R36" s="190"/>
      <c r="S36" s="190"/>
      <c r="T36" s="191"/>
      <c r="U36" s="192">
        <f>(N36+AG6*1000)/2</f>
        <v>1306</v>
      </c>
      <c r="V36" s="193"/>
      <c r="W36" s="193"/>
      <c r="X36" s="194"/>
      <c r="Y36" s="189">
        <f t="shared" si="1"/>
        <v>36672480</v>
      </c>
      <c r="Z36" s="190"/>
      <c r="AA36" s="190"/>
      <c r="AB36" s="190"/>
      <c r="AC36" s="191"/>
      <c r="AD36" s="189">
        <f t="shared" si="2"/>
        <v>47894258880</v>
      </c>
      <c r="AE36" s="190"/>
      <c r="AF36" s="190"/>
      <c r="AG36" s="190"/>
      <c r="AH36" s="190"/>
      <c r="AI36" s="191"/>
      <c r="AJ36" s="189">
        <f>C36*K36*POWER(N36,3)/12</f>
        <v>336960</v>
      </c>
      <c r="AK36" s="190"/>
      <c r="AL36" s="190"/>
      <c r="AM36" s="190"/>
      <c r="AN36" s="190"/>
      <c r="AO36" s="191"/>
    </row>
    <row r="37" spans="3:41" ht="18" customHeight="1">
      <c r="C37" s="204" t="s">
        <v>141</v>
      </c>
      <c r="D37" s="187"/>
      <c r="E37" s="187"/>
      <c r="F37" s="187"/>
      <c r="G37" s="187"/>
      <c r="H37" s="187"/>
      <c r="I37" s="187"/>
      <c r="J37" s="188"/>
      <c r="K37" s="179"/>
      <c r="L37" s="180"/>
      <c r="M37" s="181"/>
      <c r="N37" s="179"/>
      <c r="O37" s="180"/>
      <c r="P37" s="181"/>
      <c r="Q37" s="205">
        <f>SUM(Q31:Q36)</f>
        <v>126546.46657242166</v>
      </c>
      <c r="R37" s="206"/>
      <c r="S37" s="206"/>
      <c r="T37" s="207"/>
      <c r="U37" s="208"/>
      <c r="V37" s="209"/>
      <c r="W37" s="209"/>
      <c r="X37" s="210"/>
      <c r="Y37" s="189">
        <f>SUM(Y31:Y36)</f>
        <v>-12419100</v>
      </c>
      <c r="Z37" s="190"/>
      <c r="AA37" s="190"/>
      <c r="AB37" s="190"/>
      <c r="AC37" s="191"/>
      <c r="AD37" s="189">
        <f>SUM(AD31:AD36)</f>
        <v>123987994860</v>
      </c>
      <c r="AE37" s="190"/>
      <c r="AF37" s="190"/>
      <c r="AG37" s="190"/>
      <c r="AH37" s="190"/>
      <c r="AI37" s="191"/>
      <c r="AJ37" s="189">
        <f>SUM(AJ31:AJ36)</f>
        <v>29370323895.71092</v>
      </c>
      <c r="AK37" s="190"/>
      <c r="AL37" s="190"/>
      <c r="AM37" s="190"/>
      <c r="AN37" s="190"/>
      <c r="AO37" s="191"/>
    </row>
    <row r="38" spans="7:20" ht="18" customHeight="1">
      <c r="G38" s="211"/>
      <c r="H38" s="211"/>
      <c r="I38" s="211"/>
      <c r="J38" s="211"/>
      <c r="K38" s="11"/>
      <c r="P38" s="212"/>
      <c r="Q38" s="212"/>
      <c r="R38" s="212"/>
      <c r="S38" s="212"/>
      <c r="T38" s="11"/>
    </row>
    <row r="39" spans="7:20" ht="18" customHeight="1">
      <c r="G39" s="211"/>
      <c r="H39" s="211"/>
      <c r="I39" s="211"/>
      <c r="J39" s="211"/>
      <c r="K39" s="11"/>
      <c r="P39" s="212"/>
      <c r="Q39" s="212"/>
      <c r="R39" s="212"/>
      <c r="S39" s="212"/>
      <c r="T39" s="11"/>
    </row>
    <row r="40" ht="18" customHeight="1">
      <c r="A40" s="213" t="s">
        <v>143</v>
      </c>
    </row>
    <row r="51" ht="18" customHeight="1">
      <c r="B51" s="162" t="s">
        <v>144</v>
      </c>
    </row>
    <row r="52" spans="3:32" ht="18" customHeight="1">
      <c r="C52" s="162" t="s">
        <v>77</v>
      </c>
      <c r="L52" s="214">
        <f>AD37</f>
        <v>123987994860</v>
      </c>
      <c r="M52" s="214"/>
      <c r="N52" s="214"/>
      <c r="O52" s="214"/>
      <c r="P52" s="214"/>
      <c r="Q52" s="162" t="s">
        <v>78</v>
      </c>
      <c r="R52" s="215">
        <f>AJ37</f>
        <v>29370323895.71092</v>
      </c>
      <c r="S52" s="215"/>
      <c r="T52" s="215"/>
      <c r="U52" s="215"/>
      <c r="V52" s="215"/>
      <c r="W52" s="215"/>
      <c r="X52" s="215"/>
      <c r="Y52" s="162" t="s">
        <v>79</v>
      </c>
      <c r="Z52" s="214">
        <f>L52+R52</f>
        <v>153358318755.7109</v>
      </c>
      <c r="AA52" s="214"/>
      <c r="AB52" s="214"/>
      <c r="AC52" s="214"/>
      <c r="AD52" s="214"/>
      <c r="AE52" s="214"/>
      <c r="AF52" s="9" t="s">
        <v>31</v>
      </c>
    </row>
    <row r="53" spans="2:46" ht="18" customHeight="1">
      <c r="B53" s="11"/>
      <c r="C53" s="11" t="s">
        <v>80</v>
      </c>
      <c r="D53" s="11"/>
      <c r="E53" s="11"/>
      <c r="F53" s="11"/>
      <c r="G53" s="11"/>
      <c r="H53" s="11"/>
      <c r="I53" s="11"/>
      <c r="J53" s="11"/>
      <c r="K53" s="11"/>
      <c r="L53" s="216">
        <f>Y37</f>
        <v>-12419100</v>
      </c>
      <c r="M53" s="216"/>
      <c r="N53" s="216"/>
      <c r="O53" s="216"/>
      <c r="P53" s="216"/>
      <c r="Q53" s="11" t="s">
        <v>81</v>
      </c>
      <c r="R53" s="216">
        <f>Q37</f>
        <v>126546.46657242166</v>
      </c>
      <c r="S53" s="216"/>
      <c r="T53" s="216"/>
      <c r="U53" s="216"/>
      <c r="V53" s="216"/>
      <c r="W53" s="11" t="s">
        <v>79</v>
      </c>
      <c r="X53" s="217">
        <f>L53/R53</f>
        <v>-98.13865480702802</v>
      </c>
      <c r="Y53" s="217"/>
      <c r="Z53" s="217"/>
      <c r="AA53" s="217"/>
      <c r="AB53" s="217"/>
      <c r="AC53" s="217"/>
      <c r="AD53" s="10" t="s">
        <v>145</v>
      </c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</row>
    <row r="54" spans="2:46" ht="18" customHeight="1">
      <c r="B54" s="11"/>
      <c r="C54" s="11" t="s">
        <v>82</v>
      </c>
      <c r="D54" s="11"/>
      <c r="E54" s="11"/>
      <c r="F54" s="11"/>
      <c r="G54" s="11"/>
      <c r="H54" s="11"/>
      <c r="I54" s="11"/>
      <c r="J54" s="11"/>
      <c r="K54" s="11"/>
      <c r="L54" s="216">
        <f>Z52</f>
        <v>153358318755.7109</v>
      </c>
      <c r="M54" s="216"/>
      <c r="N54" s="216"/>
      <c r="O54" s="216"/>
      <c r="P54" s="216"/>
      <c r="Q54" s="11" t="s">
        <v>72</v>
      </c>
      <c r="R54" s="216">
        <f>Q37</f>
        <v>126546.46657242166</v>
      </c>
      <c r="S54" s="216"/>
      <c r="T54" s="216"/>
      <c r="U54" s="216"/>
      <c r="V54" s="216"/>
      <c r="W54" s="11" t="s">
        <v>83</v>
      </c>
      <c r="X54" s="218">
        <f>X53</f>
        <v>-98.13865480702802</v>
      </c>
      <c r="Y54" s="51"/>
      <c r="Z54" s="51"/>
      <c r="AA54" s="51"/>
      <c r="AB54" s="51"/>
      <c r="AC54" s="11" t="s">
        <v>79</v>
      </c>
      <c r="AD54" s="216">
        <f>L54-R54*X54^2</f>
        <v>152139524987.79694</v>
      </c>
      <c r="AE54" s="216"/>
      <c r="AF54" s="216"/>
      <c r="AG54" s="216"/>
      <c r="AH54" s="216"/>
      <c r="AI54" s="216"/>
      <c r="AJ54" s="9" t="s">
        <v>31</v>
      </c>
      <c r="AK54" s="11"/>
      <c r="AL54" s="11"/>
      <c r="AM54" s="11"/>
      <c r="AN54" s="11"/>
      <c r="AO54" s="11"/>
      <c r="AP54" s="11"/>
      <c r="AQ54" s="11"/>
      <c r="AR54" s="11"/>
      <c r="AS54" s="11"/>
      <c r="AT54" s="11"/>
    </row>
    <row r="55" spans="2:46" ht="18" customHeight="1">
      <c r="B55" s="11"/>
      <c r="C55" s="11" t="s">
        <v>146</v>
      </c>
      <c r="D55" s="11"/>
      <c r="E55" s="11"/>
      <c r="F55" s="11"/>
      <c r="G55" s="11"/>
      <c r="H55" s="11"/>
      <c r="I55" s="11"/>
      <c r="J55" s="11"/>
      <c r="K55" s="11"/>
      <c r="L55" s="11"/>
      <c r="M55" s="219">
        <f>-AG6*1000</f>
        <v>-2600</v>
      </c>
      <c r="N55" s="51"/>
      <c r="O55" s="51"/>
      <c r="P55" s="51"/>
      <c r="Q55" s="11" t="s">
        <v>84</v>
      </c>
      <c r="R55" s="11"/>
      <c r="S55" s="11"/>
      <c r="T55" s="11" t="s">
        <v>147</v>
      </c>
      <c r="U55" s="219">
        <f>N31</f>
        <v>12</v>
      </c>
      <c r="V55" s="51"/>
      <c r="W55" s="11" t="s">
        <v>72</v>
      </c>
      <c r="X55" s="51">
        <f>X54</f>
        <v>-98.13865480702802</v>
      </c>
      <c r="Y55" s="51"/>
      <c r="Z55" s="51"/>
      <c r="AA55" s="51"/>
      <c r="AB55" s="51"/>
      <c r="AC55" s="11" t="s">
        <v>79</v>
      </c>
      <c r="AD55" s="51">
        <f>M55/2-U55-X55</f>
        <v>-1213.861345192972</v>
      </c>
      <c r="AE55" s="51"/>
      <c r="AF55" s="51"/>
      <c r="AG55" s="51"/>
      <c r="AH55" s="51"/>
      <c r="AI55" s="51"/>
      <c r="AJ55" s="10" t="s">
        <v>145</v>
      </c>
      <c r="AK55" s="11"/>
      <c r="AL55" s="11"/>
      <c r="AM55" s="11"/>
      <c r="AN55" s="11"/>
      <c r="AO55" s="11"/>
      <c r="AP55" s="11"/>
      <c r="AQ55" s="11"/>
      <c r="AR55" s="11"/>
      <c r="AS55" s="11"/>
      <c r="AT55" s="11"/>
    </row>
    <row r="56" spans="1:46" ht="18" customHeight="1">
      <c r="A56" s="11"/>
      <c r="B56" s="11"/>
      <c r="C56" s="11" t="s">
        <v>148</v>
      </c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51">
        <f>AD55</f>
        <v>-1213.861345192972</v>
      </c>
      <c r="Q56" s="51"/>
      <c r="R56" s="51"/>
      <c r="S56" s="51"/>
      <c r="T56" s="51"/>
      <c r="U56" s="11" t="s">
        <v>149</v>
      </c>
      <c r="V56" s="51">
        <f>(AG6+AG13+AG14)*1000</f>
        <v>2624</v>
      </c>
      <c r="W56" s="51"/>
      <c r="X56" s="51"/>
      <c r="Y56" s="51"/>
      <c r="Z56" s="11" t="s">
        <v>79</v>
      </c>
      <c r="AA56" s="51">
        <f>P56+V56</f>
        <v>1410.138654807028</v>
      </c>
      <c r="AB56" s="51"/>
      <c r="AC56" s="51"/>
      <c r="AD56" s="51"/>
      <c r="AE56" s="51"/>
      <c r="AF56" s="10" t="s">
        <v>145</v>
      </c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</row>
    <row r="57" spans="1:46" ht="18" customHeight="1">
      <c r="A57" s="11"/>
      <c r="B57" s="11"/>
      <c r="C57" s="11" t="s">
        <v>150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 t="s">
        <v>151</v>
      </c>
      <c r="AB57" s="219">
        <f>((AG7+AM7+AG8)/2+AG15)*(AG6+AG13/2+AG14/2)*1000000</f>
        <v>5903119.999999998</v>
      </c>
      <c r="AC57" s="219"/>
      <c r="AD57" s="219"/>
      <c r="AE57" s="219"/>
      <c r="AF57" s="219"/>
      <c r="AG57" s="11" t="s">
        <v>142</v>
      </c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</row>
    <row r="58" spans="1:46" ht="18" customHeight="1">
      <c r="A58" s="11"/>
      <c r="B58" s="11"/>
      <c r="C58" s="11" t="s">
        <v>55</v>
      </c>
      <c r="D58" s="11"/>
      <c r="E58" s="11"/>
      <c r="F58" s="11"/>
      <c r="G58" s="11"/>
      <c r="H58" s="11"/>
      <c r="I58" s="11"/>
      <c r="J58" s="11"/>
      <c r="K58" s="11"/>
      <c r="L58" s="11"/>
      <c r="M58" s="51">
        <f>AG22*1000000*P56/AD54</f>
        <v>-39.72230438727316</v>
      </c>
      <c r="N58" s="51"/>
      <c r="O58" s="51"/>
      <c r="P58" s="51"/>
      <c r="Q58" s="51"/>
      <c r="R58" s="11" t="s">
        <v>28</v>
      </c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</row>
    <row r="59" spans="1:46" ht="18" customHeight="1">
      <c r="A59" s="11"/>
      <c r="B59" s="11"/>
      <c r="C59" s="11" t="s">
        <v>56</v>
      </c>
      <c r="D59" s="11"/>
      <c r="E59" s="11"/>
      <c r="F59" s="11"/>
      <c r="G59" s="11"/>
      <c r="H59" s="11"/>
      <c r="I59" s="11"/>
      <c r="J59" s="11"/>
      <c r="K59" s="11"/>
      <c r="L59" s="11"/>
      <c r="M59" s="51">
        <f>AG22*1000000*AA56/AD54</f>
        <v>46.145267823484346</v>
      </c>
      <c r="N59" s="51"/>
      <c r="O59" s="51"/>
      <c r="P59" s="51"/>
      <c r="Q59" s="51"/>
      <c r="R59" s="11" t="s">
        <v>28</v>
      </c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</row>
    <row r="60" spans="1:45" ht="18" customHeight="1">
      <c r="A60" s="11"/>
      <c r="B60" s="11"/>
      <c r="C60" s="11" t="s">
        <v>57</v>
      </c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51">
        <f>ABS(AG24)*1000/(Q33+Q34)+ABS(AG26)*1000000/(2*AB57*AG15*1000)</f>
        <v>6.0502679510032</v>
      </c>
      <c r="T60" s="51"/>
      <c r="U60" s="51"/>
      <c r="V60" s="51"/>
      <c r="W60" s="51"/>
      <c r="X60" s="11" t="s">
        <v>28</v>
      </c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</row>
    <row r="61" spans="1:45" ht="18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</row>
    <row r="62" spans="1:45" ht="18" customHeight="1">
      <c r="A62" s="11"/>
      <c r="B62" s="11" t="s">
        <v>58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</row>
    <row r="63" spans="1:45" ht="18" customHeight="1">
      <c r="A63" s="11"/>
      <c r="B63" s="11"/>
      <c r="C63" s="11" t="s">
        <v>105</v>
      </c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51">
        <f>AG23*1000000/AD54*AD55</f>
        <v>-23.77192981230484</v>
      </c>
      <c r="O63" s="51"/>
      <c r="P63" s="51"/>
      <c r="Q63" s="51"/>
      <c r="R63" s="51"/>
      <c r="S63" s="11" t="s">
        <v>28</v>
      </c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</row>
    <row r="64" spans="1:45" ht="18" customHeight="1">
      <c r="A64" s="11"/>
      <c r="B64" s="11"/>
      <c r="C64" s="11" t="s">
        <v>106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51">
        <f>AG23*1000000/AD54*AA56</f>
        <v>27.615771159070526</v>
      </c>
      <c r="O64" s="51"/>
      <c r="P64" s="51"/>
      <c r="Q64" s="51"/>
      <c r="R64" s="51"/>
      <c r="S64" s="11" t="s">
        <v>28</v>
      </c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</row>
    <row r="65" spans="1:45" ht="18" customHeight="1">
      <c r="A65" s="11"/>
      <c r="B65" s="11"/>
      <c r="C65" s="11" t="s">
        <v>107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51">
        <f>ABS(AG25)*1000/(Q33+Q34)+ABS(AG27)*100000/(2*AB57*AG15*100)</f>
        <v>8.697217153082047</v>
      </c>
      <c r="T65" s="51"/>
      <c r="U65" s="51"/>
      <c r="V65" s="51"/>
      <c r="W65" s="51"/>
      <c r="X65" s="11" t="s">
        <v>28</v>
      </c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</row>
    <row r="66" spans="1:45" ht="18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</row>
    <row r="67" spans="1:54" ht="18" customHeight="1">
      <c r="A67" s="11"/>
      <c r="B67" s="11" t="s">
        <v>59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U67" s="12" t="s">
        <v>32</v>
      </c>
      <c r="AV67" s="12"/>
      <c r="AW67" s="12"/>
      <c r="AX67" s="12"/>
      <c r="AY67" s="12"/>
      <c r="AZ67" s="12"/>
      <c r="BA67" s="12"/>
      <c r="BB67" s="12"/>
    </row>
    <row r="68" spans="1:88" ht="18" customHeight="1">
      <c r="A68" s="11"/>
      <c r="B68" s="11"/>
      <c r="C68" s="11" t="s">
        <v>108</v>
      </c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51">
        <f>ABS((AG24+AG25)*1000/(Q33+Q34))+ABS((AG26+AG27)/(2*AB57*AG15*1000))*1000000</f>
        <v>14.747485104085248</v>
      </c>
      <c r="AA68" s="51"/>
      <c r="AB68" s="51"/>
      <c r="AC68" s="51"/>
      <c r="AD68" s="11" t="s">
        <v>28</v>
      </c>
      <c r="AE68" s="11"/>
      <c r="AF68" s="11" t="s">
        <v>86</v>
      </c>
      <c r="AG68" s="11" t="s">
        <v>87</v>
      </c>
      <c r="AH68" s="11"/>
      <c r="AI68" s="11"/>
      <c r="AJ68" s="220">
        <f>HLOOKUP(AG4,AX68:CJ71,AU68,FALSE)</f>
        <v>120</v>
      </c>
      <c r="AK68" s="51"/>
      <c r="AL68" s="51"/>
      <c r="AM68" s="11" t="s">
        <v>28</v>
      </c>
      <c r="AN68" s="11"/>
      <c r="AO68" s="11"/>
      <c r="AP68" s="11" t="str">
        <f>IF(Z68&lt;AJ68,"O.K.","N.G.")</f>
        <v>O.K.</v>
      </c>
      <c r="AQ68" s="11"/>
      <c r="AR68" s="11"/>
      <c r="AS68" s="11"/>
      <c r="AU68" s="221">
        <f>IF(AG15&lt;=0.04,2,IF(AG15&lt;=0.075,3,4))</f>
        <v>2</v>
      </c>
      <c r="AV68" s="222"/>
      <c r="AW68" s="223"/>
      <c r="AX68" s="43" t="s">
        <v>4</v>
      </c>
      <c r="AY68" s="44"/>
      <c r="AZ68" s="45"/>
      <c r="BA68" s="43" t="s">
        <v>5</v>
      </c>
      <c r="BB68" s="44"/>
      <c r="BC68" s="45"/>
      <c r="BD68" s="43" t="s">
        <v>6</v>
      </c>
      <c r="BE68" s="44"/>
      <c r="BF68" s="45"/>
      <c r="BG68" s="43" t="s">
        <v>7</v>
      </c>
      <c r="BH68" s="44"/>
      <c r="BI68" s="45"/>
      <c r="BJ68" s="43" t="s">
        <v>88</v>
      </c>
      <c r="BK68" s="44"/>
      <c r="BL68" s="45"/>
      <c r="BM68" s="224" t="s">
        <v>8</v>
      </c>
      <c r="BN68" s="225"/>
      <c r="BO68" s="226"/>
      <c r="BP68" s="43" t="s">
        <v>9</v>
      </c>
      <c r="BQ68" s="44"/>
      <c r="BR68" s="45"/>
      <c r="BS68" s="43" t="s">
        <v>10</v>
      </c>
      <c r="BT68" s="44"/>
      <c r="BU68" s="45"/>
      <c r="BV68" s="43" t="s">
        <v>11</v>
      </c>
      <c r="BW68" s="44"/>
      <c r="BX68" s="45"/>
      <c r="BY68" s="224" t="s">
        <v>12</v>
      </c>
      <c r="BZ68" s="225"/>
      <c r="CA68" s="226"/>
      <c r="CB68" s="43" t="s">
        <v>13</v>
      </c>
      <c r="CC68" s="44"/>
      <c r="CD68" s="45"/>
      <c r="CE68" s="43" t="s">
        <v>14</v>
      </c>
      <c r="CF68" s="44"/>
      <c r="CG68" s="45"/>
      <c r="CH68" s="224" t="s">
        <v>15</v>
      </c>
      <c r="CI68" s="225"/>
      <c r="CJ68" s="226"/>
    </row>
    <row r="69" spans="1:88" ht="18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U69" s="36">
        <v>40</v>
      </c>
      <c r="AV69" s="37"/>
      <c r="AW69" s="38"/>
      <c r="AX69" s="36">
        <v>80</v>
      </c>
      <c r="AY69" s="37"/>
      <c r="AZ69" s="38"/>
      <c r="BA69" s="36">
        <f>AX69</f>
        <v>80</v>
      </c>
      <c r="BB69" s="37"/>
      <c r="BC69" s="38"/>
      <c r="BD69" s="36">
        <f>AX69</f>
        <v>80</v>
      </c>
      <c r="BE69" s="37"/>
      <c r="BF69" s="38"/>
      <c r="BG69" s="36">
        <v>80</v>
      </c>
      <c r="BH69" s="37"/>
      <c r="BI69" s="38"/>
      <c r="BJ69" s="36">
        <v>105</v>
      </c>
      <c r="BK69" s="37"/>
      <c r="BL69" s="38"/>
      <c r="BM69" s="36">
        <v>105</v>
      </c>
      <c r="BN69" s="37"/>
      <c r="BO69" s="38"/>
      <c r="BP69" s="36">
        <v>120</v>
      </c>
      <c r="BQ69" s="37"/>
      <c r="BR69" s="38"/>
      <c r="BS69" s="36">
        <f>BP69</f>
        <v>120</v>
      </c>
      <c r="BT69" s="37"/>
      <c r="BU69" s="38"/>
      <c r="BV69" s="36">
        <f>BP69</f>
        <v>120</v>
      </c>
      <c r="BW69" s="37"/>
      <c r="BX69" s="38"/>
      <c r="BY69" s="36">
        <v>120</v>
      </c>
      <c r="BZ69" s="37"/>
      <c r="CA69" s="38"/>
      <c r="CB69" s="36">
        <v>145</v>
      </c>
      <c r="CC69" s="37"/>
      <c r="CD69" s="38"/>
      <c r="CE69" s="36">
        <f>CB69</f>
        <v>145</v>
      </c>
      <c r="CF69" s="37"/>
      <c r="CG69" s="38"/>
      <c r="CH69" s="36">
        <v>145</v>
      </c>
      <c r="CI69" s="37"/>
      <c r="CJ69" s="38"/>
    </row>
    <row r="70" spans="1:88" ht="18" customHeight="1">
      <c r="A70" s="11"/>
      <c r="B70" s="11" t="s">
        <v>60</v>
      </c>
      <c r="C70" s="11"/>
      <c r="D70" s="11"/>
      <c r="E70" s="11"/>
      <c r="F70" s="11"/>
      <c r="G70" s="11"/>
      <c r="H70" s="11"/>
      <c r="I70" s="11"/>
      <c r="J70" s="11"/>
      <c r="K70" s="227"/>
      <c r="L70" s="11"/>
      <c r="M70" s="11"/>
      <c r="N70" s="11"/>
      <c r="O70" s="11"/>
      <c r="P70" s="11"/>
      <c r="Q70" s="11"/>
      <c r="R70" s="11"/>
      <c r="S70" s="11"/>
      <c r="T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U70" s="228" t="s">
        <v>16</v>
      </c>
      <c r="AV70" s="229"/>
      <c r="AW70" s="230"/>
      <c r="AX70" s="36">
        <v>75</v>
      </c>
      <c r="AY70" s="37"/>
      <c r="AZ70" s="38"/>
      <c r="BA70" s="36">
        <f>AX70</f>
        <v>75</v>
      </c>
      <c r="BB70" s="37"/>
      <c r="BC70" s="38"/>
      <c r="BD70" s="36">
        <f>AX70</f>
        <v>75</v>
      </c>
      <c r="BE70" s="37"/>
      <c r="BF70" s="38"/>
      <c r="BG70" s="36">
        <v>80</v>
      </c>
      <c r="BH70" s="37"/>
      <c r="BI70" s="38"/>
      <c r="BJ70" s="36">
        <v>100</v>
      </c>
      <c r="BK70" s="37"/>
      <c r="BL70" s="38"/>
      <c r="BM70" s="36">
        <v>105</v>
      </c>
      <c r="BN70" s="37"/>
      <c r="BO70" s="38"/>
      <c r="BP70" s="36">
        <v>115</v>
      </c>
      <c r="BQ70" s="37"/>
      <c r="BR70" s="38"/>
      <c r="BS70" s="36">
        <f>BP70</f>
        <v>115</v>
      </c>
      <c r="BT70" s="37"/>
      <c r="BU70" s="38"/>
      <c r="BV70" s="36">
        <f>BP70</f>
        <v>115</v>
      </c>
      <c r="BW70" s="37"/>
      <c r="BX70" s="38"/>
      <c r="BY70" s="36">
        <v>120</v>
      </c>
      <c r="BZ70" s="37"/>
      <c r="CA70" s="38"/>
      <c r="CB70" s="36">
        <v>140</v>
      </c>
      <c r="CC70" s="37"/>
      <c r="CD70" s="38"/>
      <c r="CE70" s="36">
        <f>CB70</f>
        <v>140</v>
      </c>
      <c r="CF70" s="37"/>
      <c r="CG70" s="38"/>
      <c r="CH70" s="36">
        <v>145</v>
      </c>
      <c r="CI70" s="37"/>
      <c r="CJ70" s="38"/>
    </row>
    <row r="71" spans="1:88" ht="18" customHeight="1">
      <c r="A71" s="11"/>
      <c r="B71" s="11"/>
      <c r="C71" s="11" t="s">
        <v>281</v>
      </c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U71" s="228" t="s">
        <v>17</v>
      </c>
      <c r="AV71" s="229"/>
      <c r="AW71" s="230"/>
      <c r="AX71" s="36">
        <v>75</v>
      </c>
      <c r="AY71" s="37"/>
      <c r="AZ71" s="38"/>
      <c r="BA71" s="36">
        <f>AX71</f>
        <v>75</v>
      </c>
      <c r="BB71" s="37"/>
      <c r="BC71" s="38"/>
      <c r="BD71" s="36">
        <f>AX71</f>
        <v>75</v>
      </c>
      <c r="BE71" s="37"/>
      <c r="BF71" s="38"/>
      <c r="BG71" s="36">
        <v>80</v>
      </c>
      <c r="BH71" s="37"/>
      <c r="BI71" s="38"/>
      <c r="BJ71" s="36">
        <v>100</v>
      </c>
      <c r="BK71" s="37"/>
      <c r="BL71" s="38"/>
      <c r="BM71" s="36">
        <v>105</v>
      </c>
      <c r="BN71" s="37"/>
      <c r="BO71" s="38"/>
      <c r="BP71" s="36">
        <v>110</v>
      </c>
      <c r="BQ71" s="37"/>
      <c r="BR71" s="38"/>
      <c r="BS71" s="36">
        <f>BP71</f>
        <v>110</v>
      </c>
      <c r="BT71" s="37"/>
      <c r="BU71" s="38"/>
      <c r="BV71" s="36">
        <f>BP71</f>
        <v>110</v>
      </c>
      <c r="BW71" s="37"/>
      <c r="BX71" s="38"/>
      <c r="BY71" s="36">
        <v>120</v>
      </c>
      <c r="BZ71" s="37"/>
      <c r="CA71" s="38"/>
      <c r="CB71" s="36">
        <v>135</v>
      </c>
      <c r="CC71" s="37"/>
      <c r="CD71" s="38"/>
      <c r="CE71" s="36">
        <f>CB71</f>
        <v>135</v>
      </c>
      <c r="CF71" s="37"/>
      <c r="CG71" s="38"/>
      <c r="CH71" s="36">
        <v>145</v>
      </c>
      <c r="CI71" s="37"/>
      <c r="CJ71" s="38"/>
    </row>
    <row r="72" spans="1:57" ht="18" customHeight="1">
      <c r="A72" s="11"/>
      <c r="B72" s="11"/>
      <c r="C72" s="11"/>
      <c r="D72" s="11" t="s">
        <v>79</v>
      </c>
      <c r="E72" s="51">
        <v>0.65</v>
      </c>
      <c r="F72" s="51"/>
      <c r="G72" s="51"/>
      <c r="H72" s="11" t="s">
        <v>83</v>
      </c>
      <c r="I72" s="11" t="s">
        <v>85</v>
      </c>
      <c r="J72" s="219">
        <v>0</v>
      </c>
      <c r="K72" s="51"/>
      <c r="L72" s="11" t="s">
        <v>81</v>
      </c>
      <c r="M72" s="220">
        <f>IF((AG22+AG23)&gt;=0,C32+1,C35+1)</f>
        <v>6</v>
      </c>
      <c r="N72" s="51"/>
      <c r="O72" s="11" t="s">
        <v>282</v>
      </c>
      <c r="P72" s="11" t="s">
        <v>78</v>
      </c>
      <c r="Q72" s="51">
        <v>0.13</v>
      </c>
      <c r="R72" s="51"/>
      <c r="S72" s="51"/>
      <c r="T72" s="11" t="s">
        <v>83</v>
      </c>
      <c r="U72" s="11" t="s">
        <v>85</v>
      </c>
      <c r="V72" s="219">
        <v>0</v>
      </c>
      <c r="W72" s="51"/>
      <c r="X72" s="11" t="s">
        <v>81</v>
      </c>
      <c r="Y72" s="220">
        <f>M72</f>
        <v>6</v>
      </c>
      <c r="Z72" s="51"/>
      <c r="AA72" s="11" t="s">
        <v>89</v>
      </c>
      <c r="AB72" s="11" t="s">
        <v>78</v>
      </c>
      <c r="AC72" s="219">
        <v>1</v>
      </c>
      <c r="AD72" s="51"/>
      <c r="AE72" s="11" t="s">
        <v>79</v>
      </c>
      <c r="AF72" s="51">
        <v>1</v>
      </c>
      <c r="AG72" s="51"/>
      <c r="AH72" s="51"/>
      <c r="AI72" s="5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U72" s="13" t="s">
        <v>33</v>
      </c>
      <c r="AV72" s="13"/>
      <c r="AW72" s="13"/>
      <c r="AX72" s="13"/>
      <c r="AY72" s="13"/>
      <c r="AZ72" s="13"/>
      <c r="BA72" s="13"/>
      <c r="BB72" s="13"/>
      <c r="BC72" s="13"/>
      <c r="BD72" s="13"/>
      <c r="BE72" s="13"/>
    </row>
    <row r="73" spans="1:88" ht="18" customHeight="1">
      <c r="A73" s="11"/>
      <c r="B73" s="11"/>
      <c r="C73" s="11"/>
      <c r="D73" s="11" t="s">
        <v>34</v>
      </c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231"/>
      <c r="AU73" s="36">
        <f>IF(AG14&lt;=0.04,2,IF(AG14&lt;=0.075,3,4))</f>
        <v>2</v>
      </c>
      <c r="AV73" s="37"/>
      <c r="AW73" s="38"/>
      <c r="AX73" s="43" t="s">
        <v>4</v>
      </c>
      <c r="AY73" s="44"/>
      <c r="AZ73" s="45"/>
      <c r="BA73" s="43" t="s">
        <v>5</v>
      </c>
      <c r="BB73" s="44"/>
      <c r="BC73" s="45"/>
      <c r="BD73" s="43" t="s">
        <v>6</v>
      </c>
      <c r="BE73" s="44"/>
      <c r="BF73" s="45"/>
      <c r="BG73" s="43" t="s">
        <v>7</v>
      </c>
      <c r="BH73" s="44"/>
      <c r="BI73" s="45"/>
      <c r="BJ73" s="43" t="s">
        <v>88</v>
      </c>
      <c r="BK73" s="44"/>
      <c r="BL73" s="45"/>
      <c r="BM73" s="224" t="s">
        <v>8</v>
      </c>
      <c r="BN73" s="225"/>
      <c r="BO73" s="226"/>
      <c r="BP73" s="43" t="s">
        <v>9</v>
      </c>
      <c r="BQ73" s="44"/>
      <c r="BR73" s="45"/>
      <c r="BS73" s="43" t="s">
        <v>10</v>
      </c>
      <c r="BT73" s="44"/>
      <c r="BU73" s="45"/>
      <c r="BV73" s="43" t="s">
        <v>11</v>
      </c>
      <c r="BW73" s="44"/>
      <c r="BX73" s="45"/>
      <c r="BY73" s="224" t="s">
        <v>12</v>
      </c>
      <c r="BZ73" s="225"/>
      <c r="CA73" s="226"/>
      <c r="CB73" s="43" t="s">
        <v>13</v>
      </c>
      <c r="CC73" s="44"/>
      <c r="CD73" s="45"/>
      <c r="CE73" s="43" t="s">
        <v>14</v>
      </c>
      <c r="CF73" s="44"/>
      <c r="CG73" s="45"/>
      <c r="CH73" s="224" t="s">
        <v>15</v>
      </c>
      <c r="CI73" s="225"/>
      <c r="CJ73" s="226"/>
    </row>
    <row r="74" spans="1:88" ht="18" customHeight="1">
      <c r="A74" s="11"/>
      <c r="B74" s="11"/>
      <c r="C74" s="11"/>
      <c r="D74" s="11" t="s">
        <v>18</v>
      </c>
      <c r="E74" s="11"/>
      <c r="F74" s="11"/>
      <c r="G74" s="11"/>
      <c r="H74" s="11" t="s">
        <v>19</v>
      </c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231"/>
      <c r="AU74" s="36">
        <v>40</v>
      </c>
      <c r="AV74" s="37"/>
      <c r="AW74" s="38"/>
      <c r="AX74" s="36">
        <v>140</v>
      </c>
      <c r="AY74" s="37"/>
      <c r="AZ74" s="38"/>
      <c r="BA74" s="36">
        <f>AX74</f>
        <v>140</v>
      </c>
      <c r="BB74" s="37"/>
      <c r="BC74" s="38"/>
      <c r="BD74" s="36">
        <f>AX74</f>
        <v>140</v>
      </c>
      <c r="BE74" s="37"/>
      <c r="BF74" s="38"/>
      <c r="BG74" s="36">
        <v>140</v>
      </c>
      <c r="BH74" s="37"/>
      <c r="BI74" s="38"/>
      <c r="BJ74" s="36">
        <v>185</v>
      </c>
      <c r="BK74" s="37"/>
      <c r="BL74" s="38"/>
      <c r="BM74" s="36">
        <f>BJ74</f>
        <v>185</v>
      </c>
      <c r="BN74" s="37"/>
      <c r="BO74" s="38"/>
      <c r="BP74" s="36">
        <v>210</v>
      </c>
      <c r="BQ74" s="37"/>
      <c r="BR74" s="38"/>
      <c r="BS74" s="36">
        <f>BP74</f>
        <v>210</v>
      </c>
      <c r="BT74" s="37"/>
      <c r="BU74" s="38"/>
      <c r="BV74" s="36">
        <f>BP74</f>
        <v>210</v>
      </c>
      <c r="BW74" s="37"/>
      <c r="BX74" s="38"/>
      <c r="BY74" s="36">
        <v>210</v>
      </c>
      <c r="BZ74" s="37"/>
      <c r="CA74" s="38"/>
      <c r="CB74" s="36">
        <v>255</v>
      </c>
      <c r="CC74" s="37"/>
      <c r="CD74" s="38"/>
      <c r="CE74" s="36">
        <f>CB74</f>
        <v>255</v>
      </c>
      <c r="CF74" s="37"/>
      <c r="CG74" s="38"/>
      <c r="CH74" s="36">
        <f>CE74</f>
        <v>255</v>
      </c>
      <c r="CI74" s="37"/>
      <c r="CJ74" s="38"/>
    </row>
    <row r="75" spans="1:88" ht="18" customHeight="1">
      <c r="A75" s="11"/>
      <c r="B75" s="11"/>
      <c r="C75" s="11"/>
      <c r="D75" s="11"/>
      <c r="E75" s="11"/>
      <c r="F75" s="11"/>
      <c r="G75" s="11"/>
      <c r="H75" s="11" t="s">
        <v>20</v>
      </c>
      <c r="I75" s="11"/>
      <c r="J75" s="11"/>
      <c r="K75" s="11"/>
      <c r="L75" s="11"/>
      <c r="M75" s="11"/>
      <c r="N75" s="11"/>
      <c r="O75" s="11"/>
      <c r="P75" s="11"/>
      <c r="Q75" s="11" t="s">
        <v>21</v>
      </c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231"/>
      <c r="AU75" s="228" t="s">
        <v>16</v>
      </c>
      <c r="AV75" s="229"/>
      <c r="AW75" s="230"/>
      <c r="AX75" s="36">
        <v>125</v>
      </c>
      <c r="AY75" s="37"/>
      <c r="AZ75" s="38"/>
      <c r="BA75" s="36">
        <f>AX75</f>
        <v>125</v>
      </c>
      <c r="BB75" s="37"/>
      <c r="BC75" s="38"/>
      <c r="BD75" s="36">
        <f>AX75</f>
        <v>125</v>
      </c>
      <c r="BE75" s="37"/>
      <c r="BF75" s="38"/>
      <c r="BG75" s="36">
        <v>140</v>
      </c>
      <c r="BH75" s="37"/>
      <c r="BI75" s="38"/>
      <c r="BJ75" s="36">
        <v>175</v>
      </c>
      <c r="BK75" s="37"/>
      <c r="BL75" s="38"/>
      <c r="BM75" s="36">
        <f>BM74</f>
        <v>185</v>
      </c>
      <c r="BN75" s="37"/>
      <c r="BO75" s="38"/>
      <c r="BP75" s="36">
        <v>195</v>
      </c>
      <c r="BQ75" s="37"/>
      <c r="BR75" s="38"/>
      <c r="BS75" s="36">
        <f>BP75</f>
        <v>195</v>
      </c>
      <c r="BT75" s="37"/>
      <c r="BU75" s="38"/>
      <c r="BV75" s="36">
        <f>BP75</f>
        <v>195</v>
      </c>
      <c r="BW75" s="37"/>
      <c r="BX75" s="38"/>
      <c r="BY75" s="36">
        <v>210</v>
      </c>
      <c r="BZ75" s="37"/>
      <c r="CA75" s="38"/>
      <c r="CB75" s="36">
        <v>245</v>
      </c>
      <c r="CC75" s="37"/>
      <c r="CD75" s="38"/>
      <c r="CE75" s="36">
        <f>CB75</f>
        <v>245</v>
      </c>
      <c r="CF75" s="37"/>
      <c r="CG75" s="38"/>
      <c r="CH75" s="36">
        <f>CH74</f>
        <v>255</v>
      </c>
      <c r="CI75" s="37"/>
      <c r="CJ75" s="38"/>
    </row>
    <row r="76" spans="1:88" ht="18" customHeight="1">
      <c r="A76" s="11"/>
      <c r="B76" s="11"/>
      <c r="C76" s="11"/>
      <c r="D76" s="11"/>
      <c r="E76" s="11"/>
      <c r="F76" s="11"/>
      <c r="G76" s="11"/>
      <c r="H76" s="11" t="s">
        <v>35</v>
      </c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U76" s="228" t="s">
        <v>17</v>
      </c>
      <c r="AV76" s="229"/>
      <c r="AW76" s="230"/>
      <c r="AX76" s="36">
        <v>125</v>
      </c>
      <c r="AY76" s="37"/>
      <c r="AZ76" s="38"/>
      <c r="BA76" s="36">
        <f>AX76</f>
        <v>125</v>
      </c>
      <c r="BB76" s="37"/>
      <c r="BC76" s="38"/>
      <c r="BD76" s="36">
        <f>AX76</f>
        <v>125</v>
      </c>
      <c r="BE76" s="37"/>
      <c r="BF76" s="38"/>
      <c r="BG76" s="36">
        <v>140</v>
      </c>
      <c r="BH76" s="37"/>
      <c r="BI76" s="38"/>
      <c r="BJ76" s="36">
        <v>175</v>
      </c>
      <c r="BK76" s="37"/>
      <c r="BL76" s="38"/>
      <c r="BM76" s="36">
        <f>BM74</f>
        <v>185</v>
      </c>
      <c r="BN76" s="37"/>
      <c r="BO76" s="38"/>
      <c r="BP76" s="36">
        <v>190</v>
      </c>
      <c r="BQ76" s="37"/>
      <c r="BR76" s="38"/>
      <c r="BS76" s="36">
        <f>BP76</f>
        <v>190</v>
      </c>
      <c r="BT76" s="37"/>
      <c r="BU76" s="38"/>
      <c r="BV76" s="36">
        <f>BP76</f>
        <v>190</v>
      </c>
      <c r="BW76" s="37"/>
      <c r="BX76" s="38"/>
      <c r="BY76" s="36">
        <v>210</v>
      </c>
      <c r="BZ76" s="37"/>
      <c r="CA76" s="38"/>
      <c r="CB76" s="36">
        <v>240</v>
      </c>
      <c r="CC76" s="37"/>
      <c r="CD76" s="38"/>
      <c r="CE76" s="36">
        <f>CB76</f>
        <v>240</v>
      </c>
      <c r="CF76" s="37"/>
      <c r="CG76" s="38"/>
      <c r="CH76" s="36">
        <f>CH74</f>
        <v>255</v>
      </c>
      <c r="CI76" s="37"/>
      <c r="CJ76" s="38"/>
    </row>
    <row r="77" spans="1:57" ht="18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 t="s">
        <v>36</v>
      </c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4"/>
      <c r="AU77" s="13" t="s">
        <v>37</v>
      </c>
      <c r="AV77" s="13"/>
      <c r="AW77" s="13"/>
      <c r="AX77" s="13"/>
      <c r="AY77" s="13"/>
      <c r="AZ77" s="13"/>
      <c r="BA77" s="13"/>
      <c r="BB77" s="13"/>
      <c r="BC77" s="13"/>
      <c r="BD77" s="13"/>
      <c r="BE77" s="13"/>
    </row>
    <row r="78" spans="1:88" ht="18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5"/>
      <c r="AU78" s="36">
        <f>IF(AG13&lt;=0.04,2,IF(AG13&lt;=0.075,3,4))</f>
        <v>2</v>
      </c>
      <c r="AV78" s="37"/>
      <c r="AW78" s="38"/>
      <c r="AX78" s="43" t="s">
        <v>4</v>
      </c>
      <c r="AY78" s="44"/>
      <c r="AZ78" s="45"/>
      <c r="BA78" s="43" t="s">
        <v>5</v>
      </c>
      <c r="BB78" s="44"/>
      <c r="BC78" s="45"/>
      <c r="BD78" s="43" t="s">
        <v>6</v>
      </c>
      <c r="BE78" s="44"/>
      <c r="BF78" s="45"/>
      <c r="BG78" s="43" t="s">
        <v>7</v>
      </c>
      <c r="BH78" s="44"/>
      <c r="BI78" s="45"/>
      <c r="BJ78" s="43" t="s">
        <v>88</v>
      </c>
      <c r="BK78" s="44"/>
      <c r="BL78" s="45"/>
      <c r="BM78" s="224" t="s">
        <v>8</v>
      </c>
      <c r="BN78" s="225"/>
      <c r="BO78" s="226"/>
      <c r="BP78" s="43" t="s">
        <v>9</v>
      </c>
      <c r="BQ78" s="44"/>
      <c r="BR78" s="45"/>
      <c r="BS78" s="43" t="s">
        <v>10</v>
      </c>
      <c r="BT78" s="44"/>
      <c r="BU78" s="45"/>
      <c r="BV78" s="43" t="s">
        <v>11</v>
      </c>
      <c r="BW78" s="44"/>
      <c r="BX78" s="45"/>
      <c r="BY78" s="224" t="s">
        <v>12</v>
      </c>
      <c r="BZ78" s="225"/>
      <c r="CA78" s="226"/>
      <c r="CB78" s="43" t="s">
        <v>13</v>
      </c>
      <c r="CC78" s="44"/>
      <c r="CD78" s="45"/>
      <c r="CE78" s="43" t="s">
        <v>14</v>
      </c>
      <c r="CF78" s="44"/>
      <c r="CG78" s="45"/>
      <c r="CH78" s="224" t="s">
        <v>15</v>
      </c>
      <c r="CI78" s="225"/>
      <c r="CJ78" s="226"/>
    </row>
    <row r="79" spans="1:88" ht="18" customHeight="1">
      <c r="A79" s="11"/>
      <c r="B79" s="11"/>
      <c r="C79" s="11" t="s">
        <v>22</v>
      </c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 t="s">
        <v>85</v>
      </c>
      <c r="S79" s="51" t="str">
        <f>AG4</f>
        <v>SMA490</v>
      </c>
      <c r="T79" s="51"/>
      <c r="U79" s="51"/>
      <c r="V79" s="51"/>
      <c r="W79" s="11" t="s">
        <v>23</v>
      </c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232"/>
      <c r="AU79" s="36">
        <v>40</v>
      </c>
      <c r="AV79" s="37"/>
      <c r="AW79" s="38"/>
      <c r="AX79" s="36">
        <v>140</v>
      </c>
      <c r="AY79" s="37"/>
      <c r="AZ79" s="38"/>
      <c r="BA79" s="36">
        <f>AX79</f>
        <v>140</v>
      </c>
      <c r="BB79" s="37"/>
      <c r="BC79" s="38"/>
      <c r="BD79" s="36">
        <f>AX79</f>
        <v>140</v>
      </c>
      <c r="BE79" s="37"/>
      <c r="BF79" s="38"/>
      <c r="BG79" s="36">
        <v>140</v>
      </c>
      <c r="BH79" s="37"/>
      <c r="BI79" s="38"/>
      <c r="BJ79" s="36">
        <v>185</v>
      </c>
      <c r="BK79" s="37"/>
      <c r="BL79" s="38"/>
      <c r="BM79" s="36">
        <f>BJ79</f>
        <v>185</v>
      </c>
      <c r="BN79" s="37"/>
      <c r="BO79" s="38"/>
      <c r="BP79" s="36">
        <v>210</v>
      </c>
      <c r="BQ79" s="37"/>
      <c r="BR79" s="38"/>
      <c r="BS79" s="36">
        <f>BP79</f>
        <v>210</v>
      </c>
      <c r="BT79" s="37"/>
      <c r="BU79" s="38"/>
      <c r="BV79" s="36">
        <f>BP79</f>
        <v>210</v>
      </c>
      <c r="BW79" s="37"/>
      <c r="BX79" s="38"/>
      <c r="BY79" s="36">
        <v>210</v>
      </c>
      <c r="BZ79" s="37"/>
      <c r="CA79" s="38"/>
      <c r="CB79" s="36">
        <v>255</v>
      </c>
      <c r="CC79" s="37"/>
      <c r="CD79" s="38"/>
      <c r="CE79" s="36">
        <f>CB79</f>
        <v>255</v>
      </c>
      <c r="CF79" s="37"/>
      <c r="CG79" s="38"/>
      <c r="CH79" s="36">
        <f>CE79</f>
        <v>255</v>
      </c>
      <c r="CI79" s="37"/>
      <c r="CJ79" s="38"/>
    </row>
    <row r="80" spans="1:88" ht="18" customHeight="1">
      <c r="A80" s="11"/>
      <c r="B80" s="11"/>
      <c r="C80" s="11"/>
      <c r="D80" s="11"/>
      <c r="E80" s="11" t="s">
        <v>90</v>
      </c>
      <c r="F80" s="11"/>
      <c r="G80" s="11"/>
      <c r="H80" s="219">
        <f>HLOOKUP(S79,AX73:CJ76,AU73,FALSE)</f>
        <v>210</v>
      </c>
      <c r="I80" s="219"/>
      <c r="J80" s="219"/>
      <c r="K80" s="219"/>
      <c r="L80" s="11" t="s">
        <v>28</v>
      </c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U80" s="228" t="s">
        <v>16</v>
      </c>
      <c r="AV80" s="229"/>
      <c r="AW80" s="230"/>
      <c r="AX80" s="36">
        <v>125</v>
      </c>
      <c r="AY80" s="37"/>
      <c r="AZ80" s="38"/>
      <c r="BA80" s="36">
        <f>AX80</f>
        <v>125</v>
      </c>
      <c r="BB80" s="37"/>
      <c r="BC80" s="38"/>
      <c r="BD80" s="36">
        <f>AX80</f>
        <v>125</v>
      </c>
      <c r="BE80" s="37"/>
      <c r="BF80" s="38"/>
      <c r="BG80" s="36">
        <v>140</v>
      </c>
      <c r="BH80" s="37"/>
      <c r="BI80" s="38"/>
      <c r="BJ80" s="36">
        <v>175</v>
      </c>
      <c r="BK80" s="37"/>
      <c r="BL80" s="38"/>
      <c r="BM80" s="36">
        <f>BM79</f>
        <v>185</v>
      </c>
      <c r="BN80" s="37"/>
      <c r="BO80" s="38"/>
      <c r="BP80" s="36">
        <v>195</v>
      </c>
      <c r="BQ80" s="37"/>
      <c r="BR80" s="38"/>
      <c r="BS80" s="36">
        <f>BP80</f>
        <v>195</v>
      </c>
      <c r="BT80" s="37"/>
      <c r="BU80" s="38"/>
      <c r="BV80" s="36">
        <f>BP80</f>
        <v>195</v>
      </c>
      <c r="BW80" s="37"/>
      <c r="BX80" s="38"/>
      <c r="BY80" s="36">
        <v>210</v>
      </c>
      <c r="BZ80" s="37"/>
      <c r="CA80" s="38"/>
      <c r="CB80" s="36">
        <v>245</v>
      </c>
      <c r="CC80" s="37"/>
      <c r="CD80" s="38"/>
      <c r="CE80" s="36">
        <f>CB80</f>
        <v>245</v>
      </c>
      <c r="CF80" s="37"/>
      <c r="CG80" s="38"/>
      <c r="CH80" s="36">
        <f>CH79</f>
        <v>255</v>
      </c>
      <c r="CI80" s="37"/>
      <c r="CJ80" s="38"/>
    </row>
    <row r="81" spans="1:88" ht="18" customHeight="1">
      <c r="A81" s="11"/>
      <c r="B81" s="11"/>
      <c r="C81" s="11" t="s">
        <v>24</v>
      </c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 t="s">
        <v>85</v>
      </c>
      <c r="S81" s="51" t="str">
        <f>S79</f>
        <v>SMA490</v>
      </c>
      <c r="T81" s="51"/>
      <c r="U81" s="51"/>
      <c r="V81" s="51"/>
      <c r="W81" s="11" t="s">
        <v>23</v>
      </c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U81" s="228" t="s">
        <v>17</v>
      </c>
      <c r="AV81" s="229"/>
      <c r="AW81" s="230"/>
      <c r="AX81" s="36">
        <v>125</v>
      </c>
      <c r="AY81" s="37"/>
      <c r="AZ81" s="38"/>
      <c r="BA81" s="36">
        <f>AX81</f>
        <v>125</v>
      </c>
      <c r="BB81" s="37"/>
      <c r="BC81" s="38"/>
      <c r="BD81" s="36">
        <f>AX81</f>
        <v>125</v>
      </c>
      <c r="BE81" s="37"/>
      <c r="BF81" s="38"/>
      <c r="BG81" s="36">
        <v>140</v>
      </c>
      <c r="BH81" s="37"/>
      <c r="BI81" s="38"/>
      <c r="BJ81" s="36">
        <v>175</v>
      </c>
      <c r="BK81" s="37"/>
      <c r="BL81" s="38"/>
      <c r="BM81" s="36">
        <f>BM79</f>
        <v>185</v>
      </c>
      <c r="BN81" s="37"/>
      <c r="BO81" s="38"/>
      <c r="BP81" s="36">
        <v>190</v>
      </c>
      <c r="BQ81" s="37"/>
      <c r="BR81" s="38"/>
      <c r="BS81" s="36">
        <f>BP81</f>
        <v>190</v>
      </c>
      <c r="BT81" s="37"/>
      <c r="BU81" s="38"/>
      <c r="BV81" s="36">
        <f>BP81</f>
        <v>190</v>
      </c>
      <c r="BW81" s="37"/>
      <c r="BX81" s="38"/>
      <c r="BY81" s="36">
        <v>210</v>
      </c>
      <c r="BZ81" s="37"/>
      <c r="CA81" s="38"/>
      <c r="CB81" s="36">
        <v>240</v>
      </c>
      <c r="CC81" s="37"/>
      <c r="CD81" s="38"/>
      <c r="CE81" s="36">
        <f>CB81</f>
        <v>240</v>
      </c>
      <c r="CF81" s="37"/>
      <c r="CG81" s="38"/>
      <c r="CH81" s="36">
        <f>CH79</f>
        <v>255</v>
      </c>
      <c r="CI81" s="37"/>
      <c r="CJ81" s="38"/>
    </row>
    <row r="82" spans="1:57" ht="18" customHeight="1">
      <c r="A82" s="11"/>
      <c r="B82" s="11"/>
      <c r="C82" s="11"/>
      <c r="D82" s="11"/>
      <c r="E82" s="51" t="s">
        <v>38</v>
      </c>
      <c r="F82" s="51"/>
      <c r="G82" s="51"/>
      <c r="H82" s="51"/>
      <c r="I82" s="51"/>
      <c r="J82" s="233"/>
      <c r="K82" s="234" t="s">
        <v>91</v>
      </c>
      <c r="L82" s="234"/>
      <c r="M82" s="233"/>
      <c r="N82" s="233"/>
      <c r="O82" s="11"/>
      <c r="P82" s="51" t="s">
        <v>79</v>
      </c>
      <c r="Q82" s="11"/>
      <c r="R82" s="233"/>
      <c r="S82" s="233"/>
      <c r="T82" s="235">
        <f>(AG7+AM7)*1000</f>
        <v>2400</v>
      </c>
      <c r="U82" s="234"/>
      <c r="V82" s="234"/>
      <c r="W82" s="233"/>
      <c r="X82" s="233"/>
      <c r="Y82" s="233"/>
      <c r="Z82" s="233"/>
      <c r="AA82" s="51" t="s">
        <v>79</v>
      </c>
      <c r="AB82" s="51"/>
      <c r="AC82" s="219">
        <f>T82/(R83*U83*Y83)</f>
        <v>18.181818181818183</v>
      </c>
      <c r="AD82" s="219"/>
      <c r="AE82" s="219"/>
      <c r="AF82" s="51" t="s">
        <v>71</v>
      </c>
      <c r="AG82" s="5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U82" s="13" t="s">
        <v>39</v>
      </c>
      <c r="AV82" s="13"/>
      <c r="AW82" s="13"/>
      <c r="AX82" s="13"/>
      <c r="AY82" s="13"/>
      <c r="AZ82" s="13"/>
      <c r="BA82" s="13"/>
      <c r="BB82" s="13"/>
      <c r="BC82" s="13"/>
      <c r="BD82" s="13"/>
      <c r="BE82" s="13"/>
    </row>
    <row r="83" spans="1:88" ht="18" customHeight="1">
      <c r="A83" s="11"/>
      <c r="B83" s="11"/>
      <c r="C83" s="11"/>
      <c r="D83" s="11"/>
      <c r="E83" s="51"/>
      <c r="F83" s="51"/>
      <c r="G83" s="51"/>
      <c r="H83" s="51"/>
      <c r="I83" s="51"/>
      <c r="J83" s="236">
        <f>HLOOKUP(S81,AX83:CJ86,AU84,FALSE)</f>
        <v>22</v>
      </c>
      <c r="K83" s="237"/>
      <c r="L83" s="11" t="s">
        <v>92</v>
      </c>
      <c r="M83" s="11"/>
      <c r="N83" s="11"/>
      <c r="O83" s="11"/>
      <c r="P83" s="51"/>
      <c r="Q83" s="11"/>
      <c r="R83" s="236">
        <f>J83</f>
        <v>22</v>
      </c>
      <c r="S83" s="237"/>
      <c r="T83" s="11" t="s">
        <v>83</v>
      </c>
      <c r="U83" s="237">
        <f>AF72</f>
        <v>1</v>
      </c>
      <c r="V83" s="237"/>
      <c r="W83" s="237"/>
      <c r="X83" s="11" t="s">
        <v>83</v>
      </c>
      <c r="Y83" s="236">
        <f>C32+1</f>
        <v>6</v>
      </c>
      <c r="Z83" s="237"/>
      <c r="AA83" s="51"/>
      <c r="AB83" s="51"/>
      <c r="AC83" s="219"/>
      <c r="AD83" s="219"/>
      <c r="AE83" s="219"/>
      <c r="AF83" s="51"/>
      <c r="AG83" s="5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U83" s="36">
        <f>AU78</f>
        <v>2</v>
      </c>
      <c r="AV83" s="37"/>
      <c r="AW83" s="38"/>
      <c r="AX83" s="43" t="s">
        <v>4</v>
      </c>
      <c r="AY83" s="44"/>
      <c r="AZ83" s="45"/>
      <c r="BA83" s="46" t="s">
        <v>5</v>
      </c>
      <c r="BB83" s="47"/>
      <c r="BC83" s="48"/>
      <c r="BD83" s="43" t="s">
        <v>6</v>
      </c>
      <c r="BE83" s="44"/>
      <c r="BF83" s="45"/>
      <c r="BG83" s="43" t="s">
        <v>7</v>
      </c>
      <c r="BH83" s="44"/>
      <c r="BI83" s="45"/>
      <c r="BJ83" s="43" t="s">
        <v>88</v>
      </c>
      <c r="BK83" s="44"/>
      <c r="BL83" s="45"/>
      <c r="BM83" s="224" t="s">
        <v>8</v>
      </c>
      <c r="BN83" s="225"/>
      <c r="BO83" s="226"/>
      <c r="BP83" s="43" t="s">
        <v>9</v>
      </c>
      <c r="BQ83" s="44"/>
      <c r="BR83" s="45"/>
      <c r="BS83" s="43" t="s">
        <v>10</v>
      </c>
      <c r="BT83" s="44"/>
      <c r="BU83" s="45"/>
      <c r="BV83" s="43" t="s">
        <v>11</v>
      </c>
      <c r="BW83" s="44"/>
      <c r="BX83" s="45"/>
      <c r="BY83" s="224" t="s">
        <v>12</v>
      </c>
      <c r="BZ83" s="225"/>
      <c r="CA83" s="226"/>
      <c r="CB83" s="43" t="s">
        <v>13</v>
      </c>
      <c r="CC83" s="44"/>
      <c r="CD83" s="45"/>
      <c r="CE83" s="43" t="s">
        <v>14</v>
      </c>
      <c r="CF83" s="44"/>
      <c r="CG83" s="45"/>
      <c r="CH83" s="224" t="s">
        <v>15</v>
      </c>
      <c r="CI83" s="225"/>
      <c r="CJ83" s="226"/>
    </row>
    <row r="84" spans="1:88" ht="18" customHeight="1">
      <c r="A84" s="11"/>
      <c r="B84" s="11"/>
      <c r="C84" s="11"/>
      <c r="D84" s="11"/>
      <c r="E84" s="11"/>
      <c r="F84" s="11"/>
      <c r="G84" s="11" t="s">
        <v>25</v>
      </c>
      <c r="H84" s="11"/>
      <c r="I84" s="11"/>
      <c r="J84" s="11"/>
      <c r="K84" s="11"/>
      <c r="L84" s="11"/>
      <c r="M84" s="11"/>
      <c r="N84" s="11"/>
      <c r="O84" s="167">
        <f>HLOOKUP(S81,AX78:CJ81,AU78,FALSE)</f>
        <v>210</v>
      </c>
      <c r="P84" s="167"/>
      <c r="Q84" s="167"/>
      <c r="R84" s="167"/>
      <c r="S84" s="11" t="s">
        <v>28</v>
      </c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U84" s="36">
        <v>2</v>
      </c>
      <c r="AV84" s="37"/>
      <c r="AW84" s="38"/>
      <c r="AX84" s="34">
        <v>28</v>
      </c>
      <c r="AY84" s="34"/>
      <c r="AZ84" s="34"/>
      <c r="BA84" s="39">
        <f>AX84</f>
        <v>28</v>
      </c>
      <c r="BB84" s="39"/>
      <c r="BC84" s="39"/>
      <c r="BD84" s="34">
        <f>AX84</f>
        <v>28</v>
      </c>
      <c r="BE84" s="34"/>
      <c r="BF84" s="34"/>
      <c r="BG84" s="34">
        <f>BA84</f>
        <v>28</v>
      </c>
      <c r="BH84" s="34"/>
      <c r="BI84" s="34"/>
      <c r="BJ84" s="35">
        <v>24</v>
      </c>
      <c r="BK84" s="35"/>
      <c r="BL84" s="35"/>
      <c r="BM84" s="35">
        <f>BJ84</f>
        <v>24</v>
      </c>
      <c r="BN84" s="35"/>
      <c r="BO84" s="35"/>
      <c r="BP84" s="35">
        <v>22</v>
      </c>
      <c r="BQ84" s="35"/>
      <c r="BR84" s="35"/>
      <c r="BS84" s="35">
        <f>BP84</f>
        <v>22</v>
      </c>
      <c r="BT84" s="35"/>
      <c r="BU84" s="35"/>
      <c r="BV84" s="35">
        <f>BP84</f>
        <v>22</v>
      </c>
      <c r="BW84" s="35"/>
      <c r="BX84" s="35"/>
      <c r="BY84" s="34">
        <f>BP84</f>
        <v>22</v>
      </c>
      <c r="BZ84" s="34"/>
      <c r="CA84" s="34"/>
      <c r="CB84" s="34">
        <v>22</v>
      </c>
      <c r="CC84" s="34"/>
      <c r="CD84" s="34"/>
      <c r="CE84" s="34">
        <f>CB84</f>
        <v>22</v>
      </c>
      <c r="CF84" s="34"/>
      <c r="CG84" s="34"/>
      <c r="CH84" s="34">
        <f>CB84</f>
        <v>22</v>
      </c>
      <c r="CI84" s="34"/>
      <c r="CJ84" s="34"/>
    </row>
    <row r="85" spans="1:88" ht="18" customHeight="1">
      <c r="A85" s="11"/>
      <c r="B85" s="11"/>
      <c r="C85" s="11"/>
      <c r="D85" s="11"/>
      <c r="E85" s="233"/>
      <c r="F85" s="234" t="s">
        <v>91</v>
      </c>
      <c r="G85" s="234"/>
      <c r="H85" s="233"/>
      <c r="I85" s="11"/>
      <c r="J85" s="51" t="s">
        <v>93</v>
      </c>
      <c r="K85" s="51" t="s">
        <v>38</v>
      </c>
      <c r="L85" s="51"/>
      <c r="M85" s="51"/>
      <c r="N85" s="51"/>
      <c r="O85" s="51"/>
      <c r="P85" s="233"/>
      <c r="Q85" s="234" t="s">
        <v>91</v>
      </c>
      <c r="R85" s="234"/>
      <c r="S85" s="233"/>
      <c r="T85" s="11"/>
      <c r="U85" s="51" t="s">
        <v>79</v>
      </c>
      <c r="V85" s="233"/>
      <c r="W85" s="233"/>
      <c r="X85" s="235">
        <f>(AG7+AM7)*1000</f>
        <v>2400</v>
      </c>
      <c r="Y85" s="234"/>
      <c r="Z85" s="234"/>
      <c r="AA85" s="233"/>
      <c r="AB85" s="233"/>
      <c r="AC85" s="233"/>
      <c r="AD85" s="233"/>
      <c r="AE85" s="51" t="s">
        <v>79</v>
      </c>
      <c r="AF85" s="219">
        <f>X85/(V86*Y86*AC86)</f>
        <v>8.695652173913043</v>
      </c>
      <c r="AG85" s="219"/>
      <c r="AH85" s="219"/>
      <c r="AI85" s="51" t="s">
        <v>71</v>
      </c>
      <c r="AJ85" s="51"/>
      <c r="AK85" s="11"/>
      <c r="AL85" s="11"/>
      <c r="AM85" s="11"/>
      <c r="AN85" s="11"/>
      <c r="AO85" s="11"/>
      <c r="AP85" s="11"/>
      <c r="AQ85" s="11"/>
      <c r="AR85" s="11"/>
      <c r="AS85" s="11"/>
      <c r="AU85" s="36">
        <v>3</v>
      </c>
      <c r="AV85" s="37"/>
      <c r="AW85" s="38"/>
      <c r="AX85" s="40">
        <f>IF(AU83=2,2.6,2.1)</f>
        <v>2.6</v>
      </c>
      <c r="AY85" s="40"/>
      <c r="AZ85" s="40"/>
      <c r="BA85" s="42">
        <f>AX85</f>
        <v>2.6</v>
      </c>
      <c r="BB85" s="42"/>
      <c r="BC85" s="42"/>
      <c r="BD85" s="40">
        <f>AX85</f>
        <v>2.6</v>
      </c>
      <c r="BE85" s="40"/>
      <c r="BF85" s="40"/>
      <c r="BG85" s="40">
        <f>BA85</f>
        <v>2.6</v>
      </c>
      <c r="BH85" s="40"/>
      <c r="BI85" s="40"/>
      <c r="BJ85" s="41">
        <f>IF(AU83=2,3.9,3.5)</f>
        <v>3.9</v>
      </c>
      <c r="BK85" s="41"/>
      <c r="BL85" s="41"/>
      <c r="BM85" s="41">
        <f>BJ85</f>
        <v>3.9</v>
      </c>
      <c r="BN85" s="41"/>
      <c r="BO85" s="41"/>
      <c r="BP85" s="41">
        <f>IF(AU83=2,4.6,IF(AU83=3,4,3.7))</f>
        <v>4.6</v>
      </c>
      <c r="BQ85" s="41"/>
      <c r="BR85" s="41"/>
      <c r="BS85" s="41">
        <f>BP85</f>
        <v>4.6</v>
      </c>
      <c r="BT85" s="41"/>
      <c r="BU85" s="41"/>
      <c r="BV85" s="41">
        <f>BP85</f>
        <v>4.6</v>
      </c>
      <c r="BW85" s="41"/>
      <c r="BX85" s="41"/>
      <c r="BY85" s="40">
        <f>BP85</f>
        <v>4.6</v>
      </c>
      <c r="BZ85" s="40"/>
      <c r="CA85" s="40"/>
      <c r="CB85" s="40">
        <f>IF(AU83=2,6.9,IF(AU83=3,6.2,6))</f>
        <v>6.9</v>
      </c>
      <c r="CC85" s="40"/>
      <c r="CD85" s="40"/>
      <c r="CE85" s="40">
        <f>CB85</f>
        <v>6.9</v>
      </c>
      <c r="CF85" s="40"/>
      <c r="CG85" s="40"/>
      <c r="CH85" s="40">
        <f>CB85</f>
        <v>6.9</v>
      </c>
      <c r="CI85" s="40"/>
      <c r="CJ85" s="40"/>
    </row>
    <row r="86" spans="1:88" ht="18" customHeight="1">
      <c r="A86" s="11"/>
      <c r="B86" s="11"/>
      <c r="C86" s="11"/>
      <c r="D86" s="11"/>
      <c r="E86" s="236">
        <f>HLOOKUP(S81,AX83:CJ86,AU84,FALSE)</f>
        <v>22</v>
      </c>
      <c r="F86" s="237"/>
      <c r="G86" s="11" t="s">
        <v>92</v>
      </c>
      <c r="H86" s="11"/>
      <c r="I86" s="11"/>
      <c r="J86" s="51"/>
      <c r="K86" s="51"/>
      <c r="L86" s="51"/>
      <c r="M86" s="51"/>
      <c r="N86" s="51"/>
      <c r="O86" s="51"/>
      <c r="P86" s="236">
        <f>HLOOKUP(S81,AX83:CJ86,AU86,FALSE)</f>
        <v>46</v>
      </c>
      <c r="Q86" s="237"/>
      <c r="R86" s="11" t="s">
        <v>92</v>
      </c>
      <c r="S86" s="11"/>
      <c r="T86" s="11"/>
      <c r="U86" s="51"/>
      <c r="V86" s="236">
        <f>P86</f>
        <v>46</v>
      </c>
      <c r="W86" s="237"/>
      <c r="X86" s="11" t="s">
        <v>83</v>
      </c>
      <c r="Y86" s="237">
        <f>AF72</f>
        <v>1</v>
      </c>
      <c r="Z86" s="237"/>
      <c r="AA86" s="237"/>
      <c r="AB86" s="11" t="s">
        <v>83</v>
      </c>
      <c r="AC86" s="236">
        <f>C32+1</f>
        <v>6</v>
      </c>
      <c r="AD86" s="237"/>
      <c r="AE86" s="51"/>
      <c r="AF86" s="219"/>
      <c r="AG86" s="219"/>
      <c r="AH86" s="219"/>
      <c r="AI86" s="51"/>
      <c r="AJ86" s="51"/>
      <c r="AK86" s="11"/>
      <c r="AL86" s="11"/>
      <c r="AM86" s="11"/>
      <c r="AN86" s="11"/>
      <c r="AO86" s="11"/>
      <c r="AP86" s="11"/>
      <c r="AQ86" s="11"/>
      <c r="AR86" s="11"/>
      <c r="AS86" s="11"/>
      <c r="AU86" s="36">
        <v>4</v>
      </c>
      <c r="AV86" s="37"/>
      <c r="AW86" s="38"/>
      <c r="AX86" s="34">
        <f>IF(AU83=2,56,58)</f>
        <v>56</v>
      </c>
      <c r="AY86" s="34"/>
      <c r="AZ86" s="34"/>
      <c r="BA86" s="39">
        <f>AX86</f>
        <v>56</v>
      </c>
      <c r="BB86" s="39"/>
      <c r="BC86" s="39"/>
      <c r="BD86" s="34">
        <f>AX86</f>
        <v>56</v>
      </c>
      <c r="BE86" s="34"/>
      <c r="BF86" s="34"/>
      <c r="BG86" s="34">
        <f>BA86</f>
        <v>56</v>
      </c>
      <c r="BH86" s="34"/>
      <c r="BI86" s="34"/>
      <c r="BJ86" s="35">
        <f>IF(AU83=2,48,50)</f>
        <v>48</v>
      </c>
      <c r="BK86" s="35"/>
      <c r="BL86" s="35"/>
      <c r="BM86" s="35">
        <f>BJ86</f>
        <v>48</v>
      </c>
      <c r="BN86" s="35"/>
      <c r="BO86" s="35"/>
      <c r="BP86" s="35">
        <f>IF(AU83=2,46,IF(AU83=3,46,48))</f>
        <v>46</v>
      </c>
      <c r="BQ86" s="35"/>
      <c r="BR86" s="35"/>
      <c r="BS86" s="35">
        <f>BP86</f>
        <v>46</v>
      </c>
      <c r="BT86" s="35"/>
      <c r="BU86" s="35"/>
      <c r="BV86" s="35">
        <f>BP86</f>
        <v>46</v>
      </c>
      <c r="BW86" s="35"/>
      <c r="BX86" s="35"/>
      <c r="BY86" s="34">
        <f>BP86</f>
        <v>46</v>
      </c>
      <c r="BZ86" s="34"/>
      <c r="CA86" s="34"/>
      <c r="CB86" s="34">
        <f>IF(AU83=2,40,IF(AU83=3,42,42))</f>
        <v>40</v>
      </c>
      <c r="CC86" s="34"/>
      <c r="CD86" s="34"/>
      <c r="CE86" s="34">
        <f>CB86</f>
        <v>40</v>
      </c>
      <c r="CF86" s="34"/>
      <c r="CG86" s="34"/>
      <c r="CH86" s="34">
        <f>CB86</f>
        <v>40</v>
      </c>
      <c r="CI86" s="34"/>
      <c r="CJ86" s="34"/>
    </row>
    <row r="87" spans="1:55" ht="18" customHeight="1">
      <c r="A87" s="11"/>
      <c r="B87" s="11"/>
      <c r="C87" s="11"/>
      <c r="D87" s="11"/>
      <c r="E87" s="11"/>
      <c r="F87" s="11"/>
      <c r="G87" s="11" t="s">
        <v>25</v>
      </c>
      <c r="H87" s="11"/>
      <c r="I87" s="11"/>
      <c r="J87" s="11"/>
      <c r="K87" s="11"/>
      <c r="L87" s="11"/>
      <c r="M87" s="11"/>
      <c r="N87" s="11"/>
      <c r="O87" s="220">
        <f>O84</f>
        <v>210</v>
      </c>
      <c r="P87" s="51"/>
      <c r="Q87" s="51"/>
      <c r="R87" s="11" t="s">
        <v>72</v>
      </c>
      <c r="S87" s="220">
        <f>HLOOKUP(S81,AX83:CJ86,AU85,FALSE)</f>
        <v>4.6</v>
      </c>
      <c r="T87" s="51"/>
      <c r="U87" s="11" t="s">
        <v>85</v>
      </c>
      <c r="V87" s="11" t="s">
        <v>94</v>
      </c>
      <c r="W87" s="11"/>
      <c r="X87" s="11"/>
      <c r="Y87" s="11"/>
      <c r="Z87" s="11"/>
      <c r="AA87" s="11"/>
      <c r="AB87" s="238">
        <f>E86</f>
        <v>22</v>
      </c>
      <c r="AC87" s="9"/>
      <c r="AD87" s="11" t="s">
        <v>89</v>
      </c>
      <c r="AE87" s="11" t="s">
        <v>79</v>
      </c>
      <c r="AF87" s="167">
        <f>ROUND(O87-S87*(X85/(AG13*1000*AF72*(C32+1))-AB87),3)</f>
        <v>157.867</v>
      </c>
      <c r="AG87" s="167"/>
      <c r="AH87" s="167"/>
      <c r="AI87" s="167"/>
      <c r="AJ87" s="11" t="s">
        <v>28</v>
      </c>
      <c r="AK87" s="11"/>
      <c r="AL87" s="11"/>
      <c r="AM87" s="11"/>
      <c r="AN87" s="11"/>
      <c r="AO87" s="11"/>
      <c r="AP87" s="11"/>
      <c r="AQ87" s="11"/>
      <c r="AR87" s="11"/>
      <c r="AS87" s="11"/>
      <c r="BA87" s="11"/>
      <c r="BB87" s="11"/>
      <c r="BC87" s="11"/>
    </row>
    <row r="88" spans="1:45" ht="18" customHeight="1">
      <c r="A88" s="11"/>
      <c r="B88" s="11"/>
      <c r="C88" s="11"/>
      <c r="D88" s="11"/>
      <c r="E88" s="233"/>
      <c r="F88" s="234" t="s">
        <v>91</v>
      </c>
      <c r="G88" s="234"/>
      <c r="H88" s="233"/>
      <c r="I88" s="11"/>
      <c r="J88" s="51" t="s">
        <v>93</v>
      </c>
      <c r="K88" s="51" t="s">
        <v>38</v>
      </c>
      <c r="L88" s="51"/>
      <c r="M88" s="51"/>
      <c r="N88" s="51"/>
      <c r="O88" s="51"/>
      <c r="P88" s="233"/>
      <c r="Q88" s="234" t="s">
        <v>91</v>
      </c>
      <c r="R88" s="234"/>
      <c r="S88" s="233"/>
      <c r="T88" s="11"/>
      <c r="U88" s="51" t="s">
        <v>79</v>
      </c>
      <c r="V88" s="233"/>
      <c r="W88" s="233"/>
      <c r="X88" s="235">
        <f>(AG7+AM7)*1000</f>
        <v>2400</v>
      </c>
      <c r="Y88" s="234"/>
      <c r="Z88" s="234"/>
      <c r="AA88" s="233"/>
      <c r="AB88" s="233"/>
      <c r="AC88" s="233"/>
      <c r="AD88" s="233"/>
      <c r="AE88" s="51" t="s">
        <v>79</v>
      </c>
      <c r="AF88" s="219">
        <f>X88/(V89*Y89*AC89)</f>
        <v>5</v>
      </c>
      <c r="AG88" s="219"/>
      <c r="AH88" s="219"/>
      <c r="AI88" s="51" t="s">
        <v>71</v>
      </c>
      <c r="AJ88" s="51"/>
      <c r="AK88" s="11"/>
      <c r="AL88" s="11"/>
      <c r="AM88" s="11"/>
      <c r="AN88" s="11"/>
      <c r="AO88" s="11"/>
      <c r="AP88" s="11"/>
      <c r="AQ88" s="11"/>
      <c r="AR88" s="11"/>
      <c r="AS88" s="11"/>
    </row>
    <row r="89" spans="1:45" ht="18" customHeight="1">
      <c r="A89" s="11"/>
      <c r="B89" s="11"/>
      <c r="C89" s="11"/>
      <c r="D89" s="11"/>
      <c r="E89" s="236">
        <f>P86</f>
        <v>46</v>
      </c>
      <c r="F89" s="237"/>
      <c r="G89" s="11" t="s">
        <v>92</v>
      </c>
      <c r="H89" s="11"/>
      <c r="I89" s="11"/>
      <c r="J89" s="51"/>
      <c r="K89" s="51"/>
      <c r="L89" s="51"/>
      <c r="M89" s="51"/>
      <c r="N89" s="51"/>
      <c r="O89" s="51"/>
      <c r="P89" s="236">
        <v>80</v>
      </c>
      <c r="Q89" s="237"/>
      <c r="R89" s="11" t="s">
        <v>92</v>
      </c>
      <c r="S89" s="11"/>
      <c r="T89" s="11"/>
      <c r="U89" s="51"/>
      <c r="V89" s="236">
        <f>P89</f>
        <v>80</v>
      </c>
      <c r="W89" s="237"/>
      <c r="X89" s="11" t="s">
        <v>83</v>
      </c>
      <c r="Y89" s="237">
        <f>AF72</f>
        <v>1</v>
      </c>
      <c r="Z89" s="237"/>
      <c r="AA89" s="237"/>
      <c r="AB89" s="11" t="s">
        <v>83</v>
      </c>
      <c r="AC89" s="236">
        <f>C32+1</f>
        <v>6</v>
      </c>
      <c r="AD89" s="237"/>
      <c r="AE89" s="51"/>
      <c r="AF89" s="219"/>
      <c r="AG89" s="219"/>
      <c r="AH89" s="219"/>
      <c r="AI89" s="51"/>
      <c r="AJ89" s="51"/>
      <c r="AK89" s="11"/>
      <c r="AL89" s="11"/>
      <c r="AM89" s="11"/>
      <c r="AN89" s="11"/>
      <c r="AO89" s="11"/>
      <c r="AP89" s="11"/>
      <c r="AQ89" s="11"/>
      <c r="AR89" s="11"/>
      <c r="AS89" s="11"/>
    </row>
    <row r="90" spans="1:45" ht="18" customHeight="1">
      <c r="A90" s="11"/>
      <c r="B90" s="11"/>
      <c r="C90" s="11"/>
      <c r="D90" s="11"/>
      <c r="E90" s="11"/>
      <c r="F90" s="11"/>
      <c r="G90" s="11" t="s">
        <v>25</v>
      </c>
      <c r="H90" s="11"/>
      <c r="I90" s="11"/>
      <c r="J90" s="11"/>
      <c r="K90" s="11"/>
      <c r="L90" s="11"/>
      <c r="M90" s="11"/>
      <c r="N90" s="220">
        <f>210000</f>
        <v>210000</v>
      </c>
      <c r="O90" s="220"/>
      <c r="P90" s="220"/>
      <c r="Q90" s="220"/>
      <c r="R90" s="11" t="s">
        <v>83</v>
      </c>
      <c r="S90" s="11" t="s">
        <v>95</v>
      </c>
      <c r="T90" s="11"/>
      <c r="U90" s="11"/>
      <c r="V90" s="11"/>
      <c r="W90" s="11"/>
      <c r="X90" s="11"/>
      <c r="Y90" s="11"/>
      <c r="Z90" s="11" t="s">
        <v>79</v>
      </c>
      <c r="AA90" s="51">
        <f>N90*(AG13*1000*Y89*AC89/X88)^2</f>
        <v>189</v>
      </c>
      <c r="AB90" s="51"/>
      <c r="AC90" s="51"/>
      <c r="AD90" s="51"/>
      <c r="AE90" s="11"/>
      <c r="AF90" s="11" t="s">
        <v>28</v>
      </c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</row>
    <row r="91" spans="1:45" ht="18" customHeight="1">
      <c r="A91" s="11"/>
      <c r="B91" s="11"/>
      <c r="C91" s="11"/>
      <c r="D91" s="11"/>
      <c r="E91" s="11" t="s">
        <v>26</v>
      </c>
      <c r="F91" s="11"/>
      <c r="G91" s="11"/>
      <c r="H91" s="11"/>
      <c r="I91" s="11"/>
      <c r="J91" s="219">
        <f>AG13*1000</f>
        <v>12</v>
      </c>
      <c r="K91" s="219"/>
      <c r="L91" s="219"/>
      <c r="M91" s="10" t="s">
        <v>145</v>
      </c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</row>
    <row r="92" spans="1:45" ht="18" customHeight="1">
      <c r="A92" s="11"/>
      <c r="B92" s="11"/>
      <c r="C92" s="11"/>
      <c r="D92" s="11"/>
      <c r="E92" s="11" t="s">
        <v>27</v>
      </c>
      <c r="F92" s="11"/>
      <c r="G92" s="11"/>
      <c r="H92" s="11"/>
      <c r="I92" s="11"/>
      <c r="J92" s="11"/>
      <c r="K92" s="11"/>
      <c r="L92" s="51">
        <f>IF(J91&gt;=AC82,O84,IF(J91&gt;=AF85,AF87,IF(J91&gt;=AF88,AA90,"확인 요망")))</f>
        <v>157.867</v>
      </c>
      <c r="M92" s="51"/>
      <c r="N92" s="51"/>
      <c r="O92" s="51"/>
      <c r="P92" s="11" t="s">
        <v>28</v>
      </c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</row>
    <row r="93" spans="1:45" ht="18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</row>
    <row r="94" spans="1:45" ht="18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</row>
    <row r="95" spans="1:46" ht="18" customHeight="1">
      <c r="A95" s="11"/>
      <c r="B95" s="11"/>
      <c r="C95" s="239" t="s">
        <v>42</v>
      </c>
      <c r="D95" s="240"/>
      <c r="E95" s="240"/>
      <c r="F95" s="240"/>
      <c r="G95" s="240"/>
      <c r="H95" s="239" t="s">
        <v>43</v>
      </c>
      <c r="I95" s="240"/>
      <c r="J95" s="240"/>
      <c r="K95" s="240"/>
      <c r="L95" s="240"/>
      <c r="M95" s="240"/>
      <c r="N95" s="240"/>
      <c r="O95" s="240"/>
      <c r="P95" s="240"/>
      <c r="Q95" s="240"/>
      <c r="R95" s="240"/>
      <c r="S95" s="240"/>
      <c r="T95" s="240"/>
      <c r="U95" s="240"/>
      <c r="V95" s="240"/>
      <c r="W95" s="240"/>
      <c r="X95" s="240"/>
      <c r="Y95" s="240"/>
      <c r="Z95" s="240"/>
      <c r="AA95" s="240"/>
      <c r="AB95" s="240" t="s">
        <v>96</v>
      </c>
      <c r="AC95" s="240"/>
      <c r="AD95" s="240"/>
      <c r="AE95" s="240"/>
      <c r="AF95" s="240"/>
      <c r="AG95" s="240"/>
      <c r="AH95" s="240"/>
      <c r="AI95" s="240"/>
      <c r="AJ95" s="241" t="s">
        <v>44</v>
      </c>
      <c r="AK95" s="242"/>
      <c r="AL95" s="242"/>
      <c r="AM95" s="242"/>
      <c r="AN95" s="242"/>
      <c r="AO95" s="242"/>
      <c r="AP95" s="242"/>
      <c r="AQ95" s="242"/>
      <c r="AR95" s="243"/>
      <c r="AS95" s="243"/>
      <c r="AT95" s="232"/>
    </row>
    <row r="96" spans="1:46" ht="18" customHeight="1">
      <c r="A96" s="11"/>
      <c r="B96" s="11"/>
      <c r="C96" s="240"/>
      <c r="D96" s="240"/>
      <c r="E96" s="240"/>
      <c r="F96" s="240"/>
      <c r="G96" s="240"/>
      <c r="H96" s="239" t="s">
        <v>40</v>
      </c>
      <c r="I96" s="240"/>
      <c r="J96" s="240"/>
      <c r="K96" s="240"/>
      <c r="L96" s="240"/>
      <c r="M96" s="240"/>
      <c r="N96" s="240"/>
      <c r="O96" s="240"/>
      <c r="P96" s="240"/>
      <c r="Q96" s="240"/>
      <c r="R96" s="239" t="s">
        <v>41</v>
      </c>
      <c r="S96" s="240"/>
      <c r="T96" s="240"/>
      <c r="U96" s="240"/>
      <c r="V96" s="240"/>
      <c r="W96" s="240"/>
      <c r="X96" s="240"/>
      <c r="Y96" s="240"/>
      <c r="Z96" s="240"/>
      <c r="AA96" s="240"/>
      <c r="AB96" s="240"/>
      <c r="AC96" s="240"/>
      <c r="AD96" s="240"/>
      <c r="AE96" s="240"/>
      <c r="AF96" s="240"/>
      <c r="AG96" s="240"/>
      <c r="AH96" s="240"/>
      <c r="AI96" s="240"/>
      <c r="AJ96" s="241" t="s">
        <v>45</v>
      </c>
      <c r="AK96" s="242"/>
      <c r="AL96" s="242"/>
      <c r="AM96" s="242"/>
      <c r="AN96" s="242"/>
      <c r="AO96" s="242"/>
      <c r="AP96" s="242"/>
      <c r="AQ96" s="242"/>
      <c r="AR96" s="243"/>
      <c r="AS96" s="243"/>
      <c r="AT96" s="232"/>
    </row>
    <row r="97" spans="1:46" ht="18" customHeight="1">
      <c r="A97" s="11"/>
      <c r="B97" s="11"/>
      <c r="C97" s="240"/>
      <c r="D97" s="240"/>
      <c r="E97" s="240"/>
      <c r="F97" s="240"/>
      <c r="G97" s="240"/>
      <c r="H97" s="244" t="s">
        <v>46</v>
      </c>
      <c r="I97" s="182"/>
      <c r="J97" s="182"/>
      <c r="K97" s="182"/>
      <c r="L97" s="184"/>
      <c r="M97" s="244" t="s">
        <v>47</v>
      </c>
      <c r="N97" s="182"/>
      <c r="O97" s="182"/>
      <c r="P97" s="182"/>
      <c r="Q97" s="184"/>
      <c r="R97" s="244" t="s">
        <v>46</v>
      </c>
      <c r="S97" s="182"/>
      <c r="T97" s="182"/>
      <c r="U97" s="182"/>
      <c r="V97" s="184"/>
      <c r="W97" s="244" t="s">
        <v>47</v>
      </c>
      <c r="X97" s="182"/>
      <c r="Y97" s="182"/>
      <c r="Z97" s="182"/>
      <c r="AA97" s="184"/>
      <c r="AB97" s="239" t="s">
        <v>46</v>
      </c>
      <c r="AC97" s="240"/>
      <c r="AD97" s="240"/>
      <c r="AE97" s="240"/>
      <c r="AF97" s="239" t="s">
        <v>47</v>
      </c>
      <c r="AG97" s="240"/>
      <c r="AH97" s="240"/>
      <c r="AI97" s="240"/>
      <c r="AJ97" s="241" t="s">
        <v>46</v>
      </c>
      <c r="AK97" s="242"/>
      <c r="AL97" s="242"/>
      <c r="AM97" s="242"/>
      <c r="AN97" s="241" t="s">
        <v>47</v>
      </c>
      <c r="AO97" s="242"/>
      <c r="AP97" s="242"/>
      <c r="AQ97" s="242"/>
      <c r="AR97" s="243"/>
      <c r="AS97" s="243"/>
      <c r="AT97" s="232"/>
    </row>
    <row r="98" spans="1:46" ht="18" customHeight="1">
      <c r="A98" s="11"/>
      <c r="B98" s="11"/>
      <c r="C98" s="245">
        <v>1</v>
      </c>
      <c r="D98" s="245"/>
      <c r="E98" s="245"/>
      <c r="F98" s="245"/>
      <c r="G98" s="245"/>
      <c r="H98" s="240">
        <f>M58</f>
        <v>-39.72230438727316</v>
      </c>
      <c r="I98" s="240"/>
      <c r="J98" s="240"/>
      <c r="K98" s="240"/>
      <c r="L98" s="240"/>
      <c r="M98" s="240">
        <f>M59</f>
        <v>46.145267823484346</v>
      </c>
      <c r="N98" s="240"/>
      <c r="O98" s="240"/>
      <c r="P98" s="240"/>
      <c r="Q98" s="240"/>
      <c r="R98" s="240">
        <f>IF(H98&gt;=0,H80,L92)</f>
        <v>157.867</v>
      </c>
      <c r="S98" s="240"/>
      <c r="T98" s="240"/>
      <c r="U98" s="240"/>
      <c r="V98" s="240"/>
      <c r="W98" s="240">
        <f>IF(M98&gt;=0,H80,L92)</f>
        <v>210</v>
      </c>
      <c r="X98" s="240"/>
      <c r="Y98" s="240"/>
      <c r="Z98" s="240"/>
      <c r="AA98" s="240"/>
      <c r="AB98" s="240">
        <f>(H98/R98)^2</f>
        <v>0.06331201824273337</v>
      </c>
      <c r="AC98" s="240"/>
      <c r="AD98" s="240"/>
      <c r="AE98" s="240"/>
      <c r="AF98" s="240">
        <f>(M98/W98)^2</f>
        <v>0.0482853909864195</v>
      </c>
      <c r="AG98" s="240"/>
      <c r="AH98" s="240"/>
      <c r="AI98" s="240"/>
      <c r="AJ98" s="242">
        <f>(H98/R98)^2+(S60/AJ68)^2</f>
        <v>0.06585408367877063</v>
      </c>
      <c r="AK98" s="242"/>
      <c r="AL98" s="242"/>
      <c r="AM98" s="242"/>
      <c r="AN98" s="242">
        <f>(M98/W98)^2+(S60/AJ68)^2</f>
        <v>0.05082745642245675</v>
      </c>
      <c r="AO98" s="242"/>
      <c r="AP98" s="242"/>
      <c r="AQ98" s="242"/>
      <c r="AR98" s="243"/>
      <c r="AS98" s="243"/>
      <c r="AT98" s="232"/>
    </row>
    <row r="99" spans="1:46" ht="18" customHeight="1">
      <c r="A99" s="11"/>
      <c r="B99" s="11"/>
      <c r="C99" s="245" t="s">
        <v>61</v>
      </c>
      <c r="D99" s="245"/>
      <c r="E99" s="245"/>
      <c r="F99" s="245"/>
      <c r="G99" s="245"/>
      <c r="H99" s="240">
        <f>M58+N63</f>
        <v>-63.494234199578</v>
      </c>
      <c r="I99" s="240"/>
      <c r="J99" s="240"/>
      <c r="K99" s="240"/>
      <c r="L99" s="240"/>
      <c r="M99" s="240">
        <f>M59+N64</f>
        <v>73.76103898255488</v>
      </c>
      <c r="N99" s="240"/>
      <c r="O99" s="240"/>
      <c r="P99" s="240"/>
      <c r="Q99" s="240"/>
      <c r="R99" s="240">
        <f>R98</f>
        <v>157.867</v>
      </c>
      <c r="S99" s="240"/>
      <c r="T99" s="240"/>
      <c r="U99" s="240"/>
      <c r="V99" s="240"/>
      <c r="W99" s="240">
        <f>W98</f>
        <v>210</v>
      </c>
      <c r="X99" s="240"/>
      <c r="Y99" s="240"/>
      <c r="Z99" s="240"/>
      <c r="AA99" s="240"/>
      <c r="AB99" s="240">
        <f>(H99/R99)^2</f>
        <v>0.16176548609881986</v>
      </c>
      <c r="AC99" s="240"/>
      <c r="AD99" s="240"/>
      <c r="AE99" s="240"/>
      <c r="AF99" s="240">
        <f>(M99/W99)^2</f>
        <v>0.12337167509718777</v>
      </c>
      <c r="AG99" s="240"/>
      <c r="AH99" s="240"/>
      <c r="AI99" s="240"/>
      <c r="AJ99" s="242">
        <f>(H99/R99)^2+(Z68/AJ68)^2</f>
        <v>0.17686884143876544</v>
      </c>
      <c r="AK99" s="242"/>
      <c r="AL99" s="242"/>
      <c r="AM99" s="242"/>
      <c r="AN99" s="242">
        <f>(M99/W99)^2+(Z68/AJ68)^2</f>
        <v>0.13847503043713336</v>
      </c>
      <c r="AO99" s="242"/>
      <c r="AP99" s="242"/>
      <c r="AQ99" s="242"/>
      <c r="AR99" s="243"/>
      <c r="AS99" s="243"/>
      <c r="AT99" s="232"/>
    </row>
    <row r="100" spans="1:45" ht="18" customHeight="1">
      <c r="A100" s="11"/>
      <c r="B100" s="11"/>
      <c r="C100" s="11" t="s">
        <v>48</v>
      </c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227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</row>
    <row r="101" spans="1:45" ht="18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</row>
    <row r="102" spans="1:45" ht="18" customHeight="1">
      <c r="A102" s="11"/>
      <c r="B102" s="11" t="s">
        <v>62</v>
      </c>
      <c r="C102" s="11"/>
      <c r="D102" s="11"/>
      <c r="E102" s="11"/>
      <c r="F102" s="11"/>
      <c r="G102" s="11"/>
      <c r="H102" s="11"/>
      <c r="I102" s="11"/>
      <c r="J102" s="11"/>
      <c r="K102" s="227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</row>
    <row r="103" spans="1:45" ht="18" customHeight="1">
      <c r="A103" s="11"/>
      <c r="B103" s="11"/>
      <c r="C103" s="11"/>
      <c r="D103" s="11"/>
      <c r="E103" s="11" t="s">
        <v>49</v>
      </c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</row>
    <row r="104" spans="1:45" ht="18" customHeight="1">
      <c r="A104" s="11"/>
      <c r="B104" s="11"/>
      <c r="C104" s="11"/>
      <c r="D104" s="11"/>
      <c r="E104" s="11"/>
      <c r="F104" s="246" t="s">
        <v>85</v>
      </c>
      <c r="G104" s="234" t="s">
        <v>97</v>
      </c>
      <c r="H104" s="234"/>
      <c r="I104" s="247">
        <v>0</v>
      </c>
      <c r="J104" s="51"/>
      <c r="K104" s="51"/>
      <c r="L104" s="51"/>
      <c r="M104" s="234" t="s">
        <v>98</v>
      </c>
      <c r="N104" s="234"/>
      <c r="O104" s="248">
        <v>0</v>
      </c>
      <c r="P104" s="51"/>
      <c r="Q104" s="51" t="s">
        <v>79</v>
      </c>
      <c r="R104" s="249" t="s">
        <v>85</v>
      </c>
      <c r="S104" s="234">
        <f>IF(AB98=R106,H98,IF(AB99=R106,H99,"ERROR"))</f>
        <v>-63.494234199578</v>
      </c>
      <c r="T104" s="234"/>
      <c r="U104" s="234"/>
      <c r="V104" s="234"/>
      <c r="W104" s="234"/>
      <c r="X104" s="250">
        <v>0</v>
      </c>
      <c r="Y104" s="51"/>
      <c r="Z104" s="51" t="s">
        <v>78</v>
      </c>
      <c r="AA104" s="251" t="s">
        <v>85</v>
      </c>
      <c r="AB104" s="234">
        <f>Z68</f>
        <v>14.747485104085248</v>
      </c>
      <c r="AC104" s="234"/>
      <c r="AD104" s="234"/>
      <c r="AE104" s="234"/>
      <c r="AF104" s="234"/>
      <c r="AG104" s="252">
        <v>0</v>
      </c>
      <c r="AH104" s="5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</row>
    <row r="105" spans="1:45" ht="18" customHeight="1">
      <c r="A105" s="11"/>
      <c r="B105" s="11"/>
      <c r="C105" s="11"/>
      <c r="D105" s="11"/>
      <c r="E105" s="11"/>
      <c r="F105" s="51"/>
      <c r="G105" s="237" t="s">
        <v>99</v>
      </c>
      <c r="H105" s="237"/>
      <c r="I105" s="51"/>
      <c r="J105" s="51"/>
      <c r="K105" s="51"/>
      <c r="L105" s="51"/>
      <c r="M105" s="237" t="s">
        <v>100</v>
      </c>
      <c r="N105" s="237"/>
      <c r="O105" s="51"/>
      <c r="P105" s="51"/>
      <c r="Q105" s="51"/>
      <c r="R105" s="51"/>
      <c r="S105" s="237">
        <f>IF(AB98=R106,R98,IF(AB99=R106,R99,"ERROR"))</f>
        <v>157.867</v>
      </c>
      <c r="T105" s="237"/>
      <c r="U105" s="237"/>
      <c r="V105" s="237"/>
      <c r="W105" s="237"/>
      <c r="X105" s="51"/>
      <c r="Y105" s="51"/>
      <c r="Z105" s="51"/>
      <c r="AA105" s="51"/>
      <c r="AB105" s="237">
        <f>AJ68</f>
        <v>120</v>
      </c>
      <c r="AC105" s="237"/>
      <c r="AD105" s="237"/>
      <c r="AE105" s="237"/>
      <c r="AF105" s="237"/>
      <c r="AG105" s="51"/>
      <c r="AH105" s="5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</row>
    <row r="106" spans="1:45" ht="18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 t="s">
        <v>79</v>
      </c>
      <c r="R106" s="51">
        <f>MAX(AB98:AB99)</f>
        <v>0.16176548609881986</v>
      </c>
      <c r="S106" s="51"/>
      <c r="T106" s="51"/>
      <c r="U106" s="51"/>
      <c r="V106" s="11" t="s">
        <v>78</v>
      </c>
      <c r="W106" s="51">
        <f>(Z68/AJ68)^2</f>
        <v>0.015103355339945574</v>
      </c>
      <c r="X106" s="51"/>
      <c r="Y106" s="51"/>
      <c r="Z106" s="51"/>
      <c r="AA106" s="11" t="s">
        <v>79</v>
      </c>
      <c r="AB106" s="51">
        <f>R106+W106</f>
        <v>0.17686884143876544</v>
      </c>
      <c r="AC106" s="51"/>
      <c r="AD106" s="51"/>
      <c r="AE106" s="51"/>
      <c r="AF106" s="11"/>
      <c r="AG106" s="11" t="str">
        <f>IF(AB106&gt;AI106,"＞","＜")</f>
        <v>＜</v>
      </c>
      <c r="AH106" s="11"/>
      <c r="AI106" s="219">
        <v>1.2</v>
      </c>
      <c r="AJ106" s="51"/>
      <c r="AK106" s="51"/>
      <c r="AL106" s="11"/>
      <c r="AM106" s="11" t="str">
        <f>IF(AB106&lt;AI106,"O.K.","N.G.")</f>
        <v>O.K.</v>
      </c>
      <c r="AN106" s="11"/>
      <c r="AO106" s="11"/>
      <c r="AP106" s="11"/>
      <c r="AQ106" s="11"/>
      <c r="AR106" s="11"/>
      <c r="AS106" s="11"/>
    </row>
    <row r="107" spans="1:45" ht="18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</row>
    <row r="108" spans="1:45" ht="18" customHeight="1">
      <c r="A108" s="11"/>
      <c r="B108" s="11"/>
      <c r="C108" s="11"/>
      <c r="D108" s="11"/>
      <c r="E108" s="11" t="s">
        <v>50</v>
      </c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</row>
    <row r="109" spans="1:45" ht="18" customHeight="1">
      <c r="A109" s="11"/>
      <c r="B109" s="11"/>
      <c r="C109" s="11"/>
      <c r="D109" s="11"/>
      <c r="E109" s="11"/>
      <c r="F109" s="253" t="s">
        <v>85</v>
      </c>
      <c r="G109" s="234" t="s">
        <v>97</v>
      </c>
      <c r="H109" s="234"/>
      <c r="I109" s="254">
        <v>0</v>
      </c>
      <c r="J109" s="51"/>
      <c r="K109" s="51"/>
      <c r="L109" s="51"/>
      <c r="M109" s="234" t="s">
        <v>98</v>
      </c>
      <c r="N109" s="234"/>
      <c r="O109" s="255">
        <v>0</v>
      </c>
      <c r="P109" s="51"/>
      <c r="Q109" s="51" t="s">
        <v>79</v>
      </c>
      <c r="R109" s="256" t="s">
        <v>85</v>
      </c>
      <c r="S109" s="234">
        <f>IF(AF98=R111,M98,IF(AF99=R111,M99,"ERROR"))</f>
        <v>73.76103898255488</v>
      </c>
      <c r="T109" s="234"/>
      <c r="U109" s="234"/>
      <c r="V109" s="234"/>
      <c r="W109" s="234"/>
      <c r="X109" s="257">
        <v>0</v>
      </c>
      <c r="Y109" s="51"/>
      <c r="Z109" s="51" t="s">
        <v>78</v>
      </c>
      <c r="AA109" s="258" t="s">
        <v>85</v>
      </c>
      <c r="AB109" s="234">
        <f>Z68</f>
        <v>14.747485104085248</v>
      </c>
      <c r="AC109" s="234"/>
      <c r="AD109" s="234"/>
      <c r="AE109" s="234"/>
      <c r="AF109" s="234"/>
      <c r="AG109" s="259">
        <v>0</v>
      </c>
      <c r="AH109" s="5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</row>
    <row r="110" spans="1:45" ht="18" customHeight="1">
      <c r="A110" s="11"/>
      <c r="B110" s="11"/>
      <c r="C110" s="11"/>
      <c r="D110" s="11"/>
      <c r="E110" s="11"/>
      <c r="F110" s="51"/>
      <c r="G110" s="237" t="s">
        <v>99</v>
      </c>
      <c r="H110" s="237"/>
      <c r="I110" s="51"/>
      <c r="J110" s="51"/>
      <c r="K110" s="51"/>
      <c r="L110" s="51"/>
      <c r="M110" s="237" t="s">
        <v>100</v>
      </c>
      <c r="N110" s="237"/>
      <c r="O110" s="51"/>
      <c r="P110" s="51"/>
      <c r="Q110" s="51"/>
      <c r="R110" s="51"/>
      <c r="S110" s="237">
        <f>IF(AF98=R111,W98,IF(AF99=R111,W99,"ERROR"))</f>
        <v>210</v>
      </c>
      <c r="T110" s="237"/>
      <c r="U110" s="237"/>
      <c r="V110" s="237"/>
      <c r="W110" s="237"/>
      <c r="X110" s="51"/>
      <c r="Y110" s="51"/>
      <c r="Z110" s="51"/>
      <c r="AA110" s="51"/>
      <c r="AB110" s="237">
        <f>AJ68</f>
        <v>120</v>
      </c>
      <c r="AC110" s="237"/>
      <c r="AD110" s="237"/>
      <c r="AE110" s="237"/>
      <c r="AF110" s="237"/>
      <c r="AG110" s="51"/>
      <c r="AH110" s="5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</row>
    <row r="111" spans="1:45" ht="18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 t="s">
        <v>79</v>
      </c>
      <c r="R111" s="51">
        <f>MAX(AF98:AF99)</f>
        <v>0.12337167509718777</v>
      </c>
      <c r="S111" s="51"/>
      <c r="T111" s="51"/>
      <c r="U111" s="51"/>
      <c r="V111" s="11" t="s">
        <v>78</v>
      </c>
      <c r="W111" s="51">
        <f>(Z68/AJ68)^2</f>
        <v>0.015103355339945574</v>
      </c>
      <c r="X111" s="51"/>
      <c r="Y111" s="51"/>
      <c r="Z111" s="51"/>
      <c r="AA111" s="11" t="s">
        <v>79</v>
      </c>
      <c r="AB111" s="51">
        <f>R111+W111</f>
        <v>0.13847503043713336</v>
      </c>
      <c r="AC111" s="51"/>
      <c r="AD111" s="51"/>
      <c r="AE111" s="51"/>
      <c r="AF111" s="11"/>
      <c r="AG111" s="11" t="str">
        <f>IF(AB111&gt;AI111,"＞","＜")</f>
        <v>＜</v>
      </c>
      <c r="AH111" s="11"/>
      <c r="AI111" s="219">
        <v>1.2</v>
      </c>
      <c r="AJ111" s="51"/>
      <c r="AK111" s="51"/>
      <c r="AL111" s="11"/>
      <c r="AM111" s="11" t="str">
        <f>IF(AB111&lt;AI111,"O.K.","N.G.")</f>
        <v>O.K.</v>
      </c>
      <c r="AN111" s="11"/>
      <c r="AO111" s="11"/>
      <c r="AP111" s="11"/>
      <c r="AQ111" s="11"/>
      <c r="AR111" s="11"/>
      <c r="AS111" s="11"/>
    </row>
    <row r="113" spans="21:31" ht="18" customHeight="1"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</row>
    <row r="118" spans="2:25" s="53" customFormat="1" ht="18" customHeight="1">
      <c r="B118" s="54" t="s">
        <v>278</v>
      </c>
      <c r="E118" s="55">
        <v>2</v>
      </c>
      <c r="F118" s="55"/>
      <c r="G118" s="53" t="s">
        <v>63</v>
      </c>
      <c r="K118" s="53" t="s">
        <v>109</v>
      </c>
      <c r="M118" s="55">
        <v>19</v>
      </c>
      <c r="N118" s="55"/>
      <c r="O118" s="53" t="s">
        <v>64</v>
      </c>
      <c r="V118" s="56">
        <v>4.462</v>
      </c>
      <c r="W118" s="56"/>
      <c r="X118" s="56"/>
      <c r="Y118" s="53" t="s">
        <v>65</v>
      </c>
    </row>
    <row r="119" spans="1:70" ht="18" customHeight="1">
      <c r="A119" s="163" t="s">
        <v>110</v>
      </c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 t="s">
        <v>111</v>
      </c>
      <c r="AA119" s="11"/>
      <c r="AB119" s="11"/>
      <c r="AC119" s="11"/>
      <c r="AD119" s="11"/>
      <c r="AE119" s="11"/>
      <c r="AF119" s="11"/>
      <c r="AG119" s="58" t="s">
        <v>11</v>
      </c>
      <c r="AH119" s="59"/>
      <c r="AI119" s="59"/>
      <c r="AJ119" s="59"/>
      <c r="AK119" s="60" t="s">
        <v>171</v>
      </c>
      <c r="AL119" s="11"/>
      <c r="AM119" s="11"/>
      <c r="AN119" s="11"/>
      <c r="AO119" s="11"/>
      <c r="AP119" s="11"/>
      <c r="AQ119" s="11"/>
      <c r="AT119" s="11"/>
      <c r="AU119" s="11"/>
      <c r="AV119" s="11"/>
      <c r="AW119" s="11"/>
      <c r="AX119" s="164"/>
      <c r="AY119" s="164"/>
      <c r="AZ119" s="165"/>
      <c r="BA119" s="165"/>
      <c r="BB119" s="165"/>
      <c r="BC119" s="165"/>
      <c r="BD119" s="165"/>
      <c r="BM119" s="165"/>
      <c r="BN119" s="165"/>
      <c r="BO119" s="165"/>
      <c r="BP119" s="165"/>
      <c r="BQ119" s="165"/>
      <c r="BR119" s="165"/>
    </row>
    <row r="120" spans="1:70" ht="18" customHeight="1">
      <c r="A120" s="11"/>
      <c r="B120" s="11"/>
      <c r="C120" s="11"/>
      <c r="D120" s="11"/>
      <c r="E120" s="164"/>
      <c r="F120" s="164"/>
      <c r="G120" s="164"/>
      <c r="H120" s="164"/>
      <c r="I120" s="164"/>
      <c r="J120" s="164"/>
      <c r="K120" s="164"/>
      <c r="M120" s="165"/>
      <c r="N120" s="165"/>
      <c r="O120" s="165"/>
      <c r="P120" s="165"/>
      <c r="Q120" s="165"/>
      <c r="R120" s="165"/>
      <c r="S120" s="165"/>
      <c r="T120" s="164"/>
      <c r="U120" s="164"/>
      <c r="V120" s="164"/>
      <c r="W120" s="164"/>
      <c r="X120" s="164"/>
      <c r="Y120" s="164"/>
      <c r="Z120" s="11"/>
      <c r="AA120" s="11"/>
      <c r="AB120" s="11"/>
      <c r="AC120" s="11"/>
      <c r="AD120" s="11"/>
      <c r="AT120" s="11"/>
      <c r="AU120" s="11"/>
      <c r="AV120" s="11"/>
      <c r="AW120" s="11"/>
      <c r="AX120" s="164"/>
      <c r="AY120" s="164"/>
      <c r="AZ120" s="165"/>
      <c r="BA120" s="165"/>
      <c r="BB120" s="165"/>
      <c r="BC120" s="165"/>
      <c r="BD120" s="165"/>
      <c r="BM120" s="165"/>
      <c r="BN120" s="165"/>
      <c r="BO120" s="165"/>
      <c r="BP120" s="165"/>
      <c r="BQ120" s="165"/>
      <c r="BR120" s="165"/>
    </row>
    <row r="121" spans="1:51" ht="18" customHeight="1">
      <c r="A121" s="11"/>
      <c r="B121" s="11"/>
      <c r="C121" s="11"/>
      <c r="D121" s="11"/>
      <c r="E121" s="164"/>
      <c r="F121" s="164"/>
      <c r="G121" s="164"/>
      <c r="L121" s="165"/>
      <c r="M121" s="165"/>
      <c r="N121" s="165"/>
      <c r="O121" s="165"/>
      <c r="P121" s="165"/>
      <c r="Q121" s="165"/>
      <c r="R121" s="165"/>
      <c r="S121" s="165"/>
      <c r="W121" s="165"/>
      <c r="X121" s="164"/>
      <c r="Y121" s="164"/>
      <c r="Z121" s="11"/>
      <c r="AA121" s="11"/>
      <c r="AB121" s="11"/>
      <c r="AC121" s="11"/>
      <c r="AD121" s="11"/>
      <c r="AE121" s="163" t="s">
        <v>66</v>
      </c>
      <c r="AF121" s="11"/>
      <c r="AG121" s="58">
        <v>2.6</v>
      </c>
      <c r="AH121" s="58"/>
      <c r="AI121" s="58"/>
      <c r="AJ121" s="11" t="s">
        <v>65</v>
      </c>
      <c r="AK121" s="11"/>
      <c r="AL121" s="11"/>
      <c r="AM121" s="11"/>
      <c r="AN121" s="11"/>
      <c r="AO121" s="11"/>
      <c r="AP121" s="11"/>
      <c r="AQ121" s="11"/>
      <c r="AT121" s="11"/>
      <c r="AU121" s="11"/>
      <c r="AV121" s="11"/>
      <c r="AW121" s="11"/>
      <c r="AX121" s="164"/>
      <c r="AY121" s="11"/>
    </row>
    <row r="122" spans="1:51" ht="18" customHeight="1">
      <c r="A122" s="11"/>
      <c r="B122" s="11"/>
      <c r="C122" s="11"/>
      <c r="D122" s="11"/>
      <c r="E122" s="11"/>
      <c r="F122" s="11"/>
      <c r="G122" s="11"/>
      <c r="H122" s="165"/>
      <c r="I122" s="165"/>
      <c r="J122" s="165"/>
      <c r="K122" s="165"/>
      <c r="L122" s="165"/>
      <c r="M122" s="165"/>
      <c r="N122" s="165"/>
      <c r="O122" s="165"/>
      <c r="P122" s="165"/>
      <c r="Q122" s="165"/>
      <c r="R122" s="165"/>
      <c r="S122" s="165"/>
      <c r="T122" s="165"/>
      <c r="U122" s="165"/>
      <c r="V122" s="165"/>
      <c r="W122" s="11"/>
      <c r="X122" s="11"/>
      <c r="Y122" s="11"/>
      <c r="Z122" s="11"/>
      <c r="AA122" s="11"/>
      <c r="AB122" s="11"/>
      <c r="AC122" s="11"/>
      <c r="AD122" s="11"/>
      <c r="AE122" s="11" t="s">
        <v>112</v>
      </c>
      <c r="AF122" s="11"/>
      <c r="AG122" s="58">
        <v>1.2</v>
      </c>
      <c r="AH122" s="58"/>
      <c r="AI122" s="58"/>
      <c r="AJ122" s="11" t="s">
        <v>113</v>
      </c>
      <c r="AK122" s="11" t="s">
        <v>114</v>
      </c>
      <c r="AL122" s="11"/>
      <c r="AM122" s="58">
        <v>1.2</v>
      </c>
      <c r="AN122" s="58"/>
      <c r="AO122" s="58"/>
      <c r="AP122" s="11" t="s">
        <v>115</v>
      </c>
      <c r="AQ122" s="11"/>
      <c r="AT122" s="11"/>
      <c r="AU122" s="11"/>
      <c r="AV122" s="11"/>
      <c r="AW122" s="11"/>
      <c r="AX122" s="11"/>
      <c r="AY122" s="11"/>
    </row>
    <row r="123" spans="1:51" ht="18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C123" s="11"/>
      <c r="AD123" s="11"/>
      <c r="AE123" s="11" t="s">
        <v>116</v>
      </c>
      <c r="AF123" s="11"/>
      <c r="AG123" s="58">
        <v>2.1</v>
      </c>
      <c r="AH123" s="58"/>
      <c r="AI123" s="58"/>
      <c r="AJ123" s="11" t="s">
        <v>115</v>
      </c>
      <c r="AT123" s="11"/>
      <c r="AU123" s="11"/>
      <c r="AV123" s="11"/>
      <c r="AW123" s="11"/>
      <c r="AX123" s="11"/>
      <c r="AY123" s="11"/>
    </row>
    <row r="124" spans="1:51" ht="18" customHeight="1">
      <c r="A124" s="11"/>
      <c r="B124" s="11"/>
      <c r="C124" s="11"/>
      <c r="D124" s="11"/>
      <c r="E124" s="11"/>
      <c r="F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66"/>
      <c r="AC124" s="11"/>
      <c r="AD124" s="11"/>
      <c r="AE124" s="163" t="s">
        <v>51</v>
      </c>
      <c r="AK124" s="11"/>
      <c r="AL124" s="11"/>
      <c r="AM124" s="11"/>
      <c r="AN124" s="11"/>
      <c r="AO124" s="11"/>
      <c r="AP124" s="11"/>
      <c r="AQ124" s="11"/>
      <c r="AT124" s="11"/>
      <c r="AU124" s="11"/>
      <c r="AV124" s="11"/>
      <c r="AW124" s="11"/>
      <c r="AX124" s="11"/>
      <c r="AY124" s="11"/>
    </row>
    <row r="125" spans="1:51" ht="18" customHeight="1">
      <c r="A125" s="11"/>
      <c r="B125" s="11"/>
      <c r="C125" s="11"/>
      <c r="D125" s="11"/>
      <c r="E125" s="11"/>
      <c r="F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C125" s="11"/>
      <c r="AD125" s="11"/>
      <c r="AE125" s="163" t="s">
        <v>117</v>
      </c>
      <c r="AF125" s="11"/>
      <c r="AG125" s="51">
        <f>AG122+AM122+AG131*2</f>
        <v>2.6399999999999997</v>
      </c>
      <c r="AH125" s="51"/>
      <c r="AI125" s="51"/>
      <c r="AJ125" s="11" t="s">
        <v>113</v>
      </c>
      <c r="AK125" s="163" t="s">
        <v>118</v>
      </c>
      <c r="AL125" s="11"/>
      <c r="AM125" s="51">
        <f>AG123+AG132*2</f>
        <v>2.34</v>
      </c>
      <c r="AN125" s="51"/>
      <c r="AO125" s="51"/>
      <c r="AP125" s="11" t="s">
        <v>115</v>
      </c>
      <c r="AQ125" s="11"/>
      <c r="AT125" s="11"/>
      <c r="AU125" s="11"/>
      <c r="AV125" s="11"/>
      <c r="AW125" s="11"/>
      <c r="AX125" s="11"/>
      <c r="AY125" s="11"/>
    </row>
    <row r="126" spans="1:51" ht="18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67" t="str">
        <f>C147&amp;" - "&amp;AG133&amp;" x "&amp;AJ133</f>
        <v>5 - 150 x 14</v>
      </c>
      <c r="N126" s="167"/>
      <c r="O126" s="167"/>
      <c r="P126" s="167"/>
      <c r="Q126" s="167"/>
      <c r="R126" s="167"/>
      <c r="S126" s="11"/>
      <c r="T126" s="11"/>
      <c r="U126" s="11"/>
      <c r="V126" s="11"/>
      <c r="W126" s="11"/>
      <c r="X126" s="11"/>
      <c r="Y126" s="11"/>
      <c r="Z126" s="11"/>
      <c r="AA126" s="11"/>
      <c r="AC126" s="11"/>
      <c r="AD126" s="11"/>
      <c r="AE126" s="163" t="s">
        <v>119</v>
      </c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T126" s="11"/>
      <c r="AU126" s="11"/>
      <c r="AV126" s="11"/>
      <c r="AW126" s="11"/>
      <c r="AX126" s="11"/>
      <c r="AY126" s="11"/>
    </row>
    <row r="127" spans="1:81" ht="18" customHeight="1">
      <c r="A127" s="11"/>
      <c r="B127" s="11"/>
      <c r="C127" s="11"/>
      <c r="D127" s="11"/>
      <c r="E127" s="11"/>
      <c r="F127" s="11"/>
      <c r="G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C127" s="11"/>
      <c r="AD127" s="11"/>
      <c r="AE127" s="163" t="s">
        <v>120</v>
      </c>
      <c r="AF127" s="11"/>
      <c r="AG127" s="58">
        <v>2.64</v>
      </c>
      <c r="AH127" s="58"/>
      <c r="AI127" s="58"/>
      <c r="AJ127" s="11" t="s">
        <v>113</v>
      </c>
      <c r="AK127" s="163" t="s">
        <v>121</v>
      </c>
      <c r="AL127" s="11"/>
      <c r="AM127" s="58">
        <v>2.34</v>
      </c>
      <c r="AN127" s="58"/>
      <c r="AO127" s="58"/>
      <c r="AP127" s="11" t="s">
        <v>115</v>
      </c>
      <c r="AQ127" s="11"/>
      <c r="AT127" s="11"/>
      <c r="AU127" s="11"/>
      <c r="AV127" s="11"/>
      <c r="AW127" s="11"/>
      <c r="AX127" s="11"/>
      <c r="AY127" s="11"/>
      <c r="CA127" s="168"/>
      <c r="CB127" s="168"/>
      <c r="CC127" s="168"/>
    </row>
    <row r="128" spans="1:81" ht="18" customHeight="1">
      <c r="A128" s="11"/>
      <c r="B128" s="11"/>
      <c r="C128" s="11"/>
      <c r="D128" s="169" t="s">
        <v>283</v>
      </c>
      <c r="E128" s="169"/>
      <c r="F128" s="170">
        <f>DEGREES(ATAN((AG122-AG123/2)/AG121))</f>
        <v>3.301865674435001</v>
      </c>
      <c r="G128" s="170"/>
      <c r="H128" s="170"/>
      <c r="I128" s="69" t="s">
        <v>122</v>
      </c>
      <c r="J128" s="11"/>
      <c r="K128" s="11"/>
      <c r="L128" s="11"/>
      <c r="M128" s="11"/>
      <c r="N128" s="167" t="str">
        <f>C150&amp;" - "&amp;AN133&amp;" x "&amp;AQ133</f>
        <v>2 - 150 x 14</v>
      </c>
      <c r="O128" s="167"/>
      <c r="P128" s="167"/>
      <c r="Q128" s="167"/>
      <c r="R128" s="167"/>
      <c r="S128" s="167"/>
      <c r="T128" s="11"/>
      <c r="U128" s="11"/>
      <c r="V128" s="169" t="s">
        <v>284</v>
      </c>
      <c r="W128" s="169"/>
      <c r="X128" s="170">
        <f>DEGREES(ATAN((AM122-AG123/2)/AG121))</f>
        <v>3.301865674435001</v>
      </c>
      <c r="Y128" s="170"/>
      <c r="Z128" s="170"/>
      <c r="AA128" s="69" t="s">
        <v>122</v>
      </c>
      <c r="AB128" s="11"/>
      <c r="AC128" s="11"/>
      <c r="AD128" s="11"/>
      <c r="AE128" s="163" t="s">
        <v>67</v>
      </c>
      <c r="AF128" s="11"/>
      <c r="AG128" s="58">
        <v>0.015</v>
      </c>
      <c r="AH128" s="58"/>
      <c r="AI128" s="58"/>
      <c r="AJ128" s="11" t="s">
        <v>65</v>
      </c>
      <c r="AK128" s="11"/>
      <c r="AL128" s="11"/>
      <c r="AM128" s="11"/>
      <c r="AN128" s="11"/>
      <c r="AO128" s="11"/>
      <c r="AP128" s="11"/>
      <c r="AQ128" s="11"/>
      <c r="AT128" s="11"/>
      <c r="AU128" s="11"/>
      <c r="AV128" s="11"/>
      <c r="AW128" s="169"/>
      <c r="AX128" s="169"/>
      <c r="AY128" s="11"/>
      <c r="CA128" s="168"/>
      <c r="CB128" s="168"/>
      <c r="CC128" s="168"/>
    </row>
    <row r="129" spans="1:81" ht="18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63" t="s">
        <v>68</v>
      </c>
      <c r="AF129" s="11"/>
      <c r="AG129" s="58">
        <v>0.015</v>
      </c>
      <c r="AH129" s="58"/>
      <c r="AI129" s="58"/>
      <c r="AJ129" s="11" t="s">
        <v>65</v>
      </c>
      <c r="AK129" s="11"/>
      <c r="AL129" s="11"/>
      <c r="AM129" s="11"/>
      <c r="AN129" s="11"/>
      <c r="AO129" s="11"/>
      <c r="AP129" s="11"/>
      <c r="AQ129" s="11"/>
      <c r="AT129" s="11"/>
      <c r="AU129" s="11"/>
      <c r="AV129" s="11"/>
      <c r="AW129" s="11"/>
      <c r="AX129" s="11"/>
      <c r="AY129" s="11"/>
      <c r="CA129" s="168"/>
      <c r="CB129" s="168"/>
      <c r="CC129" s="168"/>
    </row>
    <row r="130" spans="1:81" ht="18" customHeight="1">
      <c r="A130" s="11"/>
      <c r="B130" s="11"/>
      <c r="C130" s="11"/>
      <c r="D130" s="11"/>
      <c r="E130" s="11"/>
      <c r="F130" s="11"/>
      <c r="G130" s="11"/>
      <c r="H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63" t="s">
        <v>69</v>
      </c>
      <c r="AF130" s="11"/>
      <c r="AG130" s="58">
        <v>0.01</v>
      </c>
      <c r="AH130" s="58"/>
      <c r="AI130" s="58"/>
      <c r="AJ130" s="11" t="s">
        <v>65</v>
      </c>
      <c r="AK130" s="11"/>
      <c r="AL130" s="11"/>
      <c r="AM130" s="11"/>
      <c r="AN130" s="11"/>
      <c r="AO130" s="11"/>
      <c r="AP130" s="11"/>
      <c r="AQ130" s="11"/>
      <c r="CA130" s="168"/>
      <c r="CB130" s="168"/>
      <c r="CC130" s="168"/>
    </row>
    <row r="131" spans="1:81" ht="18" customHeight="1">
      <c r="A131" s="11"/>
      <c r="B131" s="11"/>
      <c r="E131" s="165"/>
      <c r="F131" s="165"/>
      <c r="G131" s="165"/>
      <c r="H131" s="165"/>
      <c r="I131" s="165"/>
      <c r="J131" s="171"/>
      <c r="K131" s="165"/>
      <c r="L131" s="165"/>
      <c r="M131" s="165"/>
      <c r="N131" s="165"/>
      <c r="O131" s="165"/>
      <c r="P131" s="165"/>
      <c r="Q131" s="165"/>
      <c r="R131" s="165"/>
      <c r="S131" s="165"/>
      <c r="T131" s="172"/>
      <c r="U131" s="165"/>
      <c r="V131" s="165"/>
      <c r="AD131" s="11"/>
      <c r="AE131" s="162" t="s">
        <v>123</v>
      </c>
      <c r="AG131" s="56">
        <v>0.12</v>
      </c>
      <c r="AH131" s="56"/>
      <c r="AI131" s="56"/>
      <c r="AJ131" s="162" t="s">
        <v>65</v>
      </c>
      <c r="AK131" s="11"/>
      <c r="AL131" s="11"/>
      <c r="AM131" s="11"/>
      <c r="AN131" s="11"/>
      <c r="AO131" s="11"/>
      <c r="AP131" s="11"/>
      <c r="AQ131" s="11"/>
      <c r="AX131" s="165"/>
      <c r="CA131" s="168"/>
      <c r="CB131" s="168"/>
      <c r="CC131" s="168"/>
    </row>
    <row r="132" spans="5:50" ht="18" customHeight="1">
      <c r="E132" s="165"/>
      <c r="F132" s="165"/>
      <c r="G132" s="165"/>
      <c r="H132" s="165"/>
      <c r="I132" s="165"/>
      <c r="J132" s="165"/>
      <c r="K132" s="165"/>
      <c r="N132" s="165"/>
      <c r="O132" s="165"/>
      <c r="P132" s="165"/>
      <c r="Q132" s="165"/>
      <c r="R132" s="165"/>
      <c r="S132" s="165"/>
      <c r="T132" s="165"/>
      <c r="U132" s="165"/>
      <c r="V132" s="165"/>
      <c r="AE132" s="162" t="s">
        <v>124</v>
      </c>
      <c r="AG132" s="56">
        <v>0.12</v>
      </c>
      <c r="AH132" s="56"/>
      <c r="AI132" s="56"/>
      <c r="AJ132" s="162" t="s">
        <v>65</v>
      </c>
      <c r="AX132" s="165"/>
    </row>
    <row r="133" spans="31:45" ht="18" customHeight="1">
      <c r="AE133" s="162" t="s">
        <v>70</v>
      </c>
      <c r="AG133" s="55">
        <v>150</v>
      </c>
      <c r="AH133" s="55"/>
      <c r="AI133" s="173" t="s">
        <v>125</v>
      </c>
      <c r="AJ133" s="55">
        <v>14</v>
      </c>
      <c r="AK133" s="55"/>
      <c r="AL133" s="162" t="s">
        <v>71</v>
      </c>
      <c r="AM133" s="162" t="s">
        <v>113</v>
      </c>
      <c r="AN133" s="55">
        <v>150</v>
      </c>
      <c r="AO133" s="55"/>
      <c r="AP133" s="173" t="s">
        <v>125</v>
      </c>
      <c r="AQ133" s="55">
        <v>14</v>
      </c>
      <c r="AR133" s="55"/>
      <c r="AS133" s="162" t="s">
        <v>71</v>
      </c>
    </row>
    <row r="134" spans="33:83" ht="18" customHeight="1">
      <c r="AG134" s="174"/>
      <c r="AH134" s="174"/>
      <c r="AI134" s="173"/>
      <c r="AJ134" s="174"/>
      <c r="AK134" s="174"/>
      <c r="AN134" s="174"/>
      <c r="AO134" s="174"/>
      <c r="AP134" s="173"/>
      <c r="AQ134" s="174"/>
      <c r="AR134" s="174"/>
      <c r="CA134" s="174"/>
      <c r="CB134" s="173"/>
      <c r="CD134" s="174"/>
      <c r="CE134" s="173"/>
    </row>
    <row r="135" spans="4:54" ht="18" customHeight="1">
      <c r="D135" s="175" t="s">
        <v>126</v>
      </c>
      <c r="E135" s="176"/>
      <c r="F135" s="176"/>
      <c r="G135" s="176"/>
      <c r="H135" s="176"/>
      <c r="I135" s="176"/>
      <c r="J135" s="176"/>
      <c r="K135" s="176"/>
      <c r="L135" s="176"/>
      <c r="M135" s="176"/>
      <c r="N135" s="176"/>
      <c r="O135" s="176"/>
      <c r="P135" s="176"/>
      <c r="Q135" s="176"/>
      <c r="R135" s="176"/>
      <c r="S135" s="176"/>
      <c r="T135" s="176"/>
      <c r="U135" s="176"/>
      <c r="V135" s="176"/>
      <c r="W135" s="176"/>
      <c r="X135" s="176"/>
      <c r="Y135" s="176"/>
      <c r="Z135" s="176"/>
      <c r="AA135" s="176"/>
      <c r="AB135" s="177"/>
      <c r="AC135" s="175" t="s">
        <v>127</v>
      </c>
      <c r="AD135" s="49"/>
      <c r="AE135" s="49"/>
      <c r="AF135" s="50"/>
      <c r="AG135" s="178" t="s">
        <v>128</v>
      </c>
      <c r="AH135" s="176"/>
      <c r="AI135" s="176"/>
      <c r="AJ135" s="176"/>
      <c r="AK135" s="176"/>
      <c r="AL135" s="177"/>
      <c r="AU135" s="11"/>
      <c r="AV135" s="11"/>
      <c r="AW135" s="11"/>
      <c r="AX135" s="11"/>
      <c r="AY135" s="11"/>
      <c r="AZ135" s="11"/>
      <c r="BA135" s="11"/>
      <c r="BB135" s="11"/>
    </row>
    <row r="136" spans="4:54" ht="18" customHeight="1">
      <c r="D136" s="179" t="s">
        <v>129</v>
      </c>
      <c r="E136" s="180"/>
      <c r="F136" s="180"/>
      <c r="G136" s="180"/>
      <c r="H136" s="180"/>
      <c r="I136" s="180"/>
      <c r="J136" s="180"/>
      <c r="K136" s="180"/>
      <c r="L136" s="180"/>
      <c r="M136" s="180"/>
      <c r="N136" s="180"/>
      <c r="O136" s="180"/>
      <c r="P136" s="180"/>
      <c r="Q136" s="180"/>
      <c r="R136" s="180"/>
      <c r="S136" s="180"/>
      <c r="T136" s="180"/>
      <c r="U136" s="180"/>
      <c r="V136" s="180"/>
      <c r="W136" s="180"/>
      <c r="X136" s="180"/>
      <c r="Y136" s="180"/>
      <c r="Z136" s="180"/>
      <c r="AA136" s="180"/>
      <c r="AB136" s="181"/>
      <c r="AC136" s="182" t="s">
        <v>28</v>
      </c>
      <c r="AD136" s="182"/>
      <c r="AE136" s="182"/>
      <c r="AF136" s="182"/>
      <c r="AG136" s="82">
        <v>200000</v>
      </c>
      <c r="AH136" s="83"/>
      <c r="AI136" s="83"/>
      <c r="AJ136" s="83"/>
      <c r="AK136" s="83"/>
      <c r="AL136" s="84"/>
      <c r="AU136" s="11"/>
      <c r="AV136" s="11"/>
      <c r="AW136" s="11"/>
      <c r="AX136" s="11"/>
      <c r="AY136" s="11"/>
      <c r="AZ136" s="11"/>
      <c r="BA136" s="11"/>
      <c r="BB136" s="11"/>
    </row>
    <row r="137" spans="4:54" ht="18" customHeight="1">
      <c r="D137" s="179" t="s">
        <v>52</v>
      </c>
      <c r="E137" s="180"/>
      <c r="F137" s="180"/>
      <c r="G137" s="180"/>
      <c r="H137" s="180"/>
      <c r="I137" s="180"/>
      <c r="J137" s="180"/>
      <c r="K137" s="180"/>
      <c r="L137" s="180"/>
      <c r="M137" s="180"/>
      <c r="N137" s="180"/>
      <c r="O137" s="180"/>
      <c r="P137" s="180"/>
      <c r="Q137" s="180"/>
      <c r="R137" s="180"/>
      <c r="S137" s="180"/>
      <c r="T137" s="180"/>
      <c r="U137" s="180"/>
      <c r="V137" s="180"/>
      <c r="W137" s="180"/>
      <c r="X137" s="180"/>
      <c r="Y137" s="180"/>
      <c r="Z137" s="180"/>
      <c r="AA137" s="180"/>
      <c r="AB137" s="181"/>
      <c r="AC137" s="183" t="s">
        <v>130</v>
      </c>
      <c r="AD137" s="182"/>
      <c r="AE137" s="182"/>
      <c r="AF137" s="184"/>
      <c r="AG137" s="87">
        <v>4125.47</v>
      </c>
      <c r="AH137" s="88"/>
      <c r="AI137" s="88"/>
      <c r="AJ137" s="88"/>
      <c r="AK137" s="88"/>
      <c r="AL137" s="89"/>
      <c r="AU137" s="11"/>
      <c r="AV137" s="11"/>
      <c r="AW137" s="11"/>
      <c r="AX137" s="11"/>
      <c r="AY137" s="11"/>
      <c r="AZ137" s="11"/>
      <c r="BA137" s="11"/>
      <c r="BB137" s="11"/>
    </row>
    <row r="138" spans="4:54" ht="18" customHeight="1">
      <c r="D138" s="179" t="s">
        <v>102</v>
      </c>
      <c r="E138" s="180"/>
      <c r="F138" s="180"/>
      <c r="G138" s="180"/>
      <c r="H138" s="180"/>
      <c r="I138" s="180"/>
      <c r="J138" s="180"/>
      <c r="K138" s="180"/>
      <c r="L138" s="180"/>
      <c r="M138" s="180"/>
      <c r="N138" s="180"/>
      <c r="O138" s="180"/>
      <c r="P138" s="180"/>
      <c r="Q138" s="180"/>
      <c r="R138" s="180"/>
      <c r="S138" s="180"/>
      <c r="T138" s="180"/>
      <c r="U138" s="180"/>
      <c r="V138" s="180"/>
      <c r="W138" s="180"/>
      <c r="X138" s="180"/>
      <c r="Y138" s="180"/>
      <c r="Z138" s="180"/>
      <c r="AA138" s="180"/>
      <c r="AB138" s="181"/>
      <c r="AC138" s="183" t="s">
        <v>130</v>
      </c>
      <c r="AD138" s="182"/>
      <c r="AE138" s="182"/>
      <c r="AF138" s="184"/>
      <c r="AG138" s="87">
        <v>3482.271</v>
      </c>
      <c r="AH138" s="88"/>
      <c r="AI138" s="88"/>
      <c r="AJ138" s="88"/>
      <c r="AK138" s="88"/>
      <c r="AL138" s="89"/>
      <c r="AU138" s="11"/>
      <c r="AV138" s="11"/>
      <c r="AW138" s="11"/>
      <c r="AX138" s="11"/>
      <c r="AY138" s="11"/>
      <c r="AZ138" s="11"/>
      <c r="BA138" s="11"/>
      <c r="BB138" s="11"/>
    </row>
    <row r="139" spans="4:54" ht="18" customHeight="1">
      <c r="D139" s="179" t="s">
        <v>53</v>
      </c>
      <c r="E139" s="180"/>
      <c r="F139" s="180"/>
      <c r="G139" s="180"/>
      <c r="H139" s="180"/>
      <c r="I139" s="180"/>
      <c r="J139" s="180"/>
      <c r="K139" s="180"/>
      <c r="L139" s="180"/>
      <c r="M139" s="180"/>
      <c r="N139" s="180"/>
      <c r="O139" s="180"/>
      <c r="P139" s="180"/>
      <c r="Q139" s="180"/>
      <c r="R139" s="180"/>
      <c r="S139" s="180"/>
      <c r="T139" s="180"/>
      <c r="U139" s="180"/>
      <c r="V139" s="180"/>
      <c r="W139" s="180"/>
      <c r="X139" s="180"/>
      <c r="Y139" s="180"/>
      <c r="Z139" s="180"/>
      <c r="AA139" s="180"/>
      <c r="AB139" s="181"/>
      <c r="AC139" s="183" t="s">
        <v>131</v>
      </c>
      <c r="AD139" s="182"/>
      <c r="AE139" s="182"/>
      <c r="AF139" s="184"/>
      <c r="AG139" s="87">
        <v>-389.854</v>
      </c>
      <c r="AH139" s="88"/>
      <c r="AI139" s="88"/>
      <c r="AJ139" s="88"/>
      <c r="AK139" s="88"/>
      <c r="AL139" s="89"/>
      <c r="AU139" s="11"/>
      <c r="AV139" s="11"/>
      <c r="AW139" s="11"/>
      <c r="AX139" s="11"/>
      <c r="AY139" s="11"/>
      <c r="AZ139" s="11"/>
      <c r="BA139" s="11"/>
      <c r="BB139" s="11"/>
    </row>
    <row r="140" spans="4:54" ht="18" customHeight="1">
      <c r="D140" s="179" t="s">
        <v>103</v>
      </c>
      <c r="E140" s="180"/>
      <c r="F140" s="180"/>
      <c r="G140" s="180"/>
      <c r="H140" s="180"/>
      <c r="I140" s="180"/>
      <c r="J140" s="180"/>
      <c r="K140" s="180"/>
      <c r="L140" s="180"/>
      <c r="M140" s="180"/>
      <c r="N140" s="180"/>
      <c r="O140" s="180"/>
      <c r="P140" s="180"/>
      <c r="Q140" s="180"/>
      <c r="R140" s="180"/>
      <c r="S140" s="180"/>
      <c r="T140" s="180"/>
      <c r="U140" s="180"/>
      <c r="V140" s="180"/>
      <c r="W140" s="180"/>
      <c r="X140" s="180"/>
      <c r="Y140" s="180"/>
      <c r="Z140" s="180"/>
      <c r="AA140" s="180"/>
      <c r="AB140" s="181"/>
      <c r="AC140" s="183" t="s">
        <v>131</v>
      </c>
      <c r="AD140" s="182"/>
      <c r="AE140" s="182"/>
      <c r="AF140" s="184"/>
      <c r="AG140" s="87">
        <v>-345.74</v>
      </c>
      <c r="AH140" s="88"/>
      <c r="AI140" s="88"/>
      <c r="AJ140" s="88"/>
      <c r="AK140" s="88"/>
      <c r="AL140" s="89"/>
      <c r="AU140" s="11"/>
      <c r="AV140" s="11"/>
      <c r="AW140" s="11"/>
      <c r="AX140" s="11"/>
      <c r="AY140" s="11"/>
      <c r="AZ140" s="11"/>
      <c r="BA140" s="11"/>
      <c r="BB140" s="11"/>
    </row>
    <row r="141" spans="4:54" ht="18" customHeight="1">
      <c r="D141" s="179" t="s">
        <v>54</v>
      </c>
      <c r="E141" s="180"/>
      <c r="F141" s="180"/>
      <c r="G141" s="180"/>
      <c r="H141" s="180"/>
      <c r="I141" s="180"/>
      <c r="J141" s="180"/>
      <c r="K141" s="180"/>
      <c r="L141" s="180"/>
      <c r="M141" s="180"/>
      <c r="N141" s="180"/>
      <c r="O141" s="180"/>
      <c r="P141" s="180"/>
      <c r="Q141" s="180"/>
      <c r="R141" s="180"/>
      <c r="S141" s="180"/>
      <c r="T141" s="180"/>
      <c r="U141" s="180"/>
      <c r="V141" s="180"/>
      <c r="W141" s="180"/>
      <c r="X141" s="180"/>
      <c r="Y141" s="180"/>
      <c r="Z141" s="180"/>
      <c r="AA141" s="180"/>
      <c r="AB141" s="181"/>
      <c r="AC141" s="183" t="s">
        <v>130</v>
      </c>
      <c r="AD141" s="182"/>
      <c r="AE141" s="182"/>
      <c r="AF141" s="184"/>
      <c r="AG141" s="87">
        <v>31.163</v>
      </c>
      <c r="AH141" s="88"/>
      <c r="AI141" s="88"/>
      <c r="AJ141" s="88"/>
      <c r="AK141" s="88"/>
      <c r="AL141" s="89"/>
      <c r="AU141" s="11"/>
      <c r="AV141" s="11"/>
      <c r="AW141" s="11"/>
      <c r="AX141" s="11"/>
      <c r="AY141" s="11"/>
      <c r="AZ141" s="11"/>
      <c r="BA141" s="11"/>
      <c r="BB141" s="11"/>
    </row>
    <row r="142" spans="4:54" ht="18" customHeight="1">
      <c r="D142" s="179" t="s">
        <v>104</v>
      </c>
      <c r="E142" s="180"/>
      <c r="F142" s="180"/>
      <c r="G142" s="180"/>
      <c r="H142" s="180"/>
      <c r="I142" s="180"/>
      <c r="J142" s="180"/>
      <c r="K142" s="180"/>
      <c r="L142" s="180"/>
      <c r="M142" s="180"/>
      <c r="N142" s="180"/>
      <c r="O142" s="180"/>
      <c r="P142" s="180"/>
      <c r="Q142" s="180"/>
      <c r="R142" s="180"/>
      <c r="S142" s="180"/>
      <c r="T142" s="180"/>
      <c r="U142" s="180"/>
      <c r="V142" s="180"/>
      <c r="W142" s="180"/>
      <c r="X142" s="180"/>
      <c r="Y142" s="180"/>
      <c r="Z142" s="180"/>
      <c r="AA142" s="180"/>
      <c r="AB142" s="181"/>
      <c r="AC142" s="183" t="s">
        <v>130</v>
      </c>
      <c r="AD142" s="182"/>
      <c r="AE142" s="182"/>
      <c r="AF142" s="184"/>
      <c r="AG142" s="87">
        <v>171.975</v>
      </c>
      <c r="AH142" s="88"/>
      <c r="AI142" s="88"/>
      <c r="AJ142" s="88"/>
      <c r="AK142" s="88"/>
      <c r="AL142" s="89"/>
      <c r="AU142" s="11"/>
      <c r="AV142" s="11"/>
      <c r="AW142" s="11"/>
      <c r="AX142" s="11"/>
      <c r="AY142" s="11"/>
      <c r="AZ142" s="11"/>
      <c r="BA142" s="11"/>
      <c r="BB142" s="11"/>
    </row>
    <row r="143" spans="47:54" ht="18" customHeight="1">
      <c r="AU143" s="11"/>
      <c r="AV143" s="11"/>
      <c r="AW143" s="11"/>
      <c r="AX143" s="11"/>
      <c r="AY143" s="11"/>
      <c r="AZ143" s="11"/>
      <c r="BA143" s="11"/>
      <c r="BB143" s="11"/>
    </row>
    <row r="144" spans="4:54" ht="18" customHeight="1">
      <c r="D144" s="162" t="s">
        <v>132</v>
      </c>
      <c r="AU144" s="11"/>
      <c r="AV144" s="11"/>
      <c r="AW144" s="11"/>
      <c r="AX144" s="11"/>
      <c r="AY144" s="11"/>
      <c r="AZ144" s="11"/>
      <c r="BA144" s="11"/>
      <c r="BB144" s="11"/>
    </row>
    <row r="145" spans="3:54" ht="18" customHeight="1">
      <c r="C145" s="175" t="s">
        <v>133</v>
      </c>
      <c r="D145" s="176"/>
      <c r="E145" s="176"/>
      <c r="F145" s="176"/>
      <c r="G145" s="176"/>
      <c r="H145" s="176"/>
      <c r="I145" s="176"/>
      <c r="J145" s="177"/>
      <c r="K145" s="178" t="s">
        <v>134</v>
      </c>
      <c r="L145" s="176"/>
      <c r="M145" s="177"/>
      <c r="N145" s="178" t="s">
        <v>135</v>
      </c>
      <c r="O145" s="176"/>
      <c r="P145" s="177"/>
      <c r="Q145" s="178" t="s">
        <v>136</v>
      </c>
      <c r="R145" s="176"/>
      <c r="S145" s="176"/>
      <c r="T145" s="177"/>
      <c r="U145" s="178" t="s">
        <v>137</v>
      </c>
      <c r="V145" s="176"/>
      <c r="W145" s="176"/>
      <c r="X145" s="177"/>
      <c r="Y145" s="178" t="s">
        <v>138</v>
      </c>
      <c r="Z145" s="176"/>
      <c r="AA145" s="176"/>
      <c r="AB145" s="176"/>
      <c r="AC145" s="177"/>
      <c r="AD145" s="178" t="s">
        <v>29</v>
      </c>
      <c r="AE145" s="176"/>
      <c r="AF145" s="176"/>
      <c r="AG145" s="176"/>
      <c r="AH145" s="176"/>
      <c r="AI145" s="177"/>
      <c r="AJ145" s="178" t="s">
        <v>30</v>
      </c>
      <c r="AK145" s="176"/>
      <c r="AL145" s="176"/>
      <c r="AM145" s="176"/>
      <c r="AN145" s="176"/>
      <c r="AO145" s="177"/>
      <c r="AU145" s="11"/>
      <c r="AV145" s="11"/>
      <c r="AW145" s="11"/>
      <c r="AX145" s="11"/>
      <c r="AY145" s="11"/>
      <c r="AZ145" s="11"/>
      <c r="BA145" s="11"/>
      <c r="BB145" s="11"/>
    </row>
    <row r="146" spans="3:54" ht="18" customHeight="1">
      <c r="C146" s="185">
        <v>1</v>
      </c>
      <c r="D146" s="180" t="s">
        <v>72</v>
      </c>
      <c r="E146" s="180" t="s">
        <v>73</v>
      </c>
      <c r="F146" s="180"/>
      <c r="G146" s="180"/>
      <c r="H146" s="180"/>
      <c r="I146" s="180"/>
      <c r="J146" s="181"/>
      <c r="K146" s="186">
        <f>AG127*1000</f>
        <v>2640</v>
      </c>
      <c r="L146" s="187"/>
      <c r="M146" s="188"/>
      <c r="N146" s="186">
        <f>AG128*1000</f>
        <v>15</v>
      </c>
      <c r="O146" s="187"/>
      <c r="P146" s="188"/>
      <c r="Q146" s="189">
        <f aca="true" t="shared" si="3" ref="Q146:Q151">C146*K146*N146</f>
        <v>39600</v>
      </c>
      <c r="R146" s="190"/>
      <c r="S146" s="190"/>
      <c r="T146" s="191"/>
      <c r="U146" s="192">
        <f>-(N146+AG121*1000)/2</f>
        <v>-1307.5</v>
      </c>
      <c r="V146" s="193"/>
      <c r="W146" s="193"/>
      <c r="X146" s="194"/>
      <c r="Y146" s="189">
        <f aca="true" t="shared" si="4" ref="Y146:Y151">Q146*U146</f>
        <v>-51777000</v>
      </c>
      <c r="Z146" s="190"/>
      <c r="AA146" s="190"/>
      <c r="AB146" s="190"/>
      <c r="AC146" s="191"/>
      <c r="AD146" s="189">
        <f aca="true" t="shared" si="5" ref="AD146:AD151">U146*Y146</f>
        <v>67698427500</v>
      </c>
      <c r="AE146" s="190"/>
      <c r="AF146" s="190"/>
      <c r="AG146" s="190"/>
      <c r="AH146" s="190"/>
      <c r="AI146" s="191"/>
      <c r="AJ146" s="189">
        <f>C146*K146*POWER(N146,3)/12</f>
        <v>742500</v>
      </c>
      <c r="AK146" s="190"/>
      <c r="AL146" s="190"/>
      <c r="AM146" s="190"/>
      <c r="AN146" s="190"/>
      <c r="AO146" s="191"/>
      <c r="AU146" s="11"/>
      <c r="AV146" s="11"/>
      <c r="AW146" s="11"/>
      <c r="AX146" s="11"/>
      <c r="AY146" s="11"/>
      <c r="AZ146" s="11"/>
      <c r="BA146" s="11"/>
      <c r="BB146" s="11"/>
    </row>
    <row r="147" spans="3:54" ht="18" customHeight="1">
      <c r="C147" s="101">
        <v>5</v>
      </c>
      <c r="D147" s="180" t="s">
        <v>72</v>
      </c>
      <c r="E147" s="180" t="s">
        <v>74</v>
      </c>
      <c r="F147" s="180"/>
      <c r="G147" s="180"/>
      <c r="H147" s="180"/>
      <c r="I147" s="180"/>
      <c r="J147" s="181"/>
      <c r="K147" s="186">
        <f>AJ133</f>
        <v>14</v>
      </c>
      <c r="L147" s="187"/>
      <c r="M147" s="188"/>
      <c r="N147" s="186">
        <f>AG133</f>
        <v>150</v>
      </c>
      <c r="O147" s="187"/>
      <c r="P147" s="188"/>
      <c r="Q147" s="189">
        <f t="shared" si="3"/>
        <v>10500</v>
      </c>
      <c r="R147" s="190"/>
      <c r="S147" s="190"/>
      <c r="T147" s="191"/>
      <c r="U147" s="192">
        <f>-(AG121*1000-N147)/2</f>
        <v>-1225</v>
      </c>
      <c r="V147" s="193"/>
      <c r="W147" s="193"/>
      <c r="X147" s="194"/>
      <c r="Y147" s="189">
        <f t="shared" si="4"/>
        <v>-12862500</v>
      </c>
      <c r="Z147" s="190"/>
      <c r="AA147" s="190"/>
      <c r="AB147" s="190"/>
      <c r="AC147" s="191"/>
      <c r="AD147" s="189">
        <f t="shared" si="5"/>
        <v>15756562500</v>
      </c>
      <c r="AE147" s="190"/>
      <c r="AF147" s="190"/>
      <c r="AG147" s="190"/>
      <c r="AH147" s="190"/>
      <c r="AI147" s="191"/>
      <c r="AJ147" s="189">
        <f>C147*K147*POWER(N147,3)/12</f>
        <v>19687500</v>
      </c>
      <c r="AK147" s="190"/>
      <c r="AL147" s="190"/>
      <c r="AM147" s="190"/>
      <c r="AN147" s="190"/>
      <c r="AO147" s="191"/>
      <c r="AU147" s="11"/>
      <c r="AV147" s="11"/>
      <c r="AW147" s="11"/>
      <c r="AX147" s="11"/>
      <c r="AY147" s="11"/>
      <c r="AZ147" s="11"/>
      <c r="BA147" s="11"/>
      <c r="BB147" s="11"/>
    </row>
    <row r="148" spans="3:54" ht="18" customHeight="1">
      <c r="C148" s="195">
        <v>1</v>
      </c>
      <c r="D148" s="196" t="s">
        <v>72</v>
      </c>
      <c r="E148" s="196" t="s">
        <v>139</v>
      </c>
      <c r="F148" s="196"/>
      <c r="G148" s="196"/>
      <c r="H148" s="196"/>
      <c r="I148" s="196"/>
      <c r="J148" s="197"/>
      <c r="K148" s="192">
        <f>AG130*1000</f>
        <v>10</v>
      </c>
      <c r="L148" s="182"/>
      <c r="M148" s="184"/>
      <c r="N148" s="192">
        <f>AG121/COS(RADIANS(F128))*1000</f>
        <v>2604.3233286210834</v>
      </c>
      <c r="O148" s="182"/>
      <c r="P148" s="184"/>
      <c r="Q148" s="198">
        <f t="shared" si="3"/>
        <v>26043.233286210834</v>
      </c>
      <c r="R148" s="199"/>
      <c r="S148" s="199"/>
      <c r="T148" s="200"/>
      <c r="U148" s="192">
        <v>0</v>
      </c>
      <c r="V148" s="193"/>
      <c r="W148" s="193"/>
      <c r="X148" s="194"/>
      <c r="Y148" s="201">
        <f t="shared" si="4"/>
        <v>0</v>
      </c>
      <c r="Z148" s="202"/>
      <c r="AA148" s="202"/>
      <c r="AB148" s="202"/>
      <c r="AC148" s="203"/>
      <c r="AD148" s="201">
        <f t="shared" si="5"/>
        <v>0</v>
      </c>
      <c r="AE148" s="202"/>
      <c r="AF148" s="202"/>
      <c r="AG148" s="202"/>
      <c r="AH148" s="202"/>
      <c r="AI148" s="203"/>
      <c r="AJ148" s="201">
        <f>C149*K149*N149/12*((N149*COS(RADIANS(F128)))^2+(K149*SIN(RADIANS(F128)))^2)</f>
        <v>14671022137.85546</v>
      </c>
      <c r="AK148" s="202"/>
      <c r="AL148" s="202"/>
      <c r="AM148" s="202"/>
      <c r="AN148" s="202"/>
      <c r="AO148" s="203"/>
      <c r="AU148" s="11"/>
      <c r="AV148" s="11"/>
      <c r="AW148" s="11"/>
      <c r="AX148" s="11"/>
      <c r="AY148" s="11"/>
      <c r="AZ148" s="11"/>
      <c r="BA148" s="11"/>
      <c r="BB148" s="11"/>
    </row>
    <row r="149" spans="3:54" ht="18" customHeight="1">
      <c r="C149" s="195">
        <v>1</v>
      </c>
      <c r="D149" s="196" t="s">
        <v>72</v>
      </c>
      <c r="E149" s="196" t="s">
        <v>140</v>
      </c>
      <c r="F149" s="196"/>
      <c r="G149" s="196"/>
      <c r="H149" s="196"/>
      <c r="I149" s="196"/>
      <c r="J149" s="197"/>
      <c r="K149" s="192">
        <f>AG130*1000</f>
        <v>10</v>
      </c>
      <c r="L149" s="182"/>
      <c r="M149" s="184"/>
      <c r="N149" s="192">
        <f>AG121/COS(RADIANS(X128))*1000</f>
        <v>2604.3233286210834</v>
      </c>
      <c r="O149" s="182"/>
      <c r="P149" s="184"/>
      <c r="Q149" s="198">
        <f t="shared" si="3"/>
        <v>26043.233286210834</v>
      </c>
      <c r="R149" s="199"/>
      <c r="S149" s="199"/>
      <c r="T149" s="200"/>
      <c r="U149" s="192">
        <v>0</v>
      </c>
      <c r="V149" s="193"/>
      <c r="W149" s="193"/>
      <c r="X149" s="194"/>
      <c r="Y149" s="201">
        <f t="shared" si="4"/>
        <v>0</v>
      </c>
      <c r="Z149" s="202"/>
      <c r="AA149" s="202"/>
      <c r="AB149" s="202"/>
      <c r="AC149" s="203"/>
      <c r="AD149" s="201">
        <f t="shared" si="5"/>
        <v>0</v>
      </c>
      <c r="AE149" s="202"/>
      <c r="AF149" s="202"/>
      <c r="AG149" s="202"/>
      <c r="AH149" s="202"/>
      <c r="AI149" s="203"/>
      <c r="AJ149" s="201">
        <f>C149*K149*N149/12*((N149*COS(RADIANS(X128)))^2+(K149*SIN(RADIANS(X128)))^2)</f>
        <v>14671022137.85546</v>
      </c>
      <c r="AK149" s="202"/>
      <c r="AL149" s="202"/>
      <c r="AM149" s="202"/>
      <c r="AN149" s="202"/>
      <c r="AO149" s="203"/>
      <c r="AU149" s="11"/>
      <c r="AV149" s="11"/>
      <c r="AW149" s="11"/>
      <c r="AX149" s="11"/>
      <c r="AY149" s="11"/>
      <c r="AZ149" s="11"/>
      <c r="BA149" s="11"/>
      <c r="BB149" s="11"/>
    </row>
    <row r="150" spans="3:41" ht="18" customHeight="1">
      <c r="C150" s="101">
        <v>2</v>
      </c>
      <c r="D150" s="180" t="s">
        <v>72</v>
      </c>
      <c r="E150" s="180" t="s">
        <v>75</v>
      </c>
      <c r="F150" s="180"/>
      <c r="G150" s="180"/>
      <c r="H150" s="180"/>
      <c r="I150" s="180"/>
      <c r="J150" s="181"/>
      <c r="K150" s="186">
        <f>AQ133</f>
        <v>14</v>
      </c>
      <c r="L150" s="187"/>
      <c r="M150" s="188"/>
      <c r="N150" s="186">
        <f>AN133</f>
        <v>150</v>
      </c>
      <c r="O150" s="187"/>
      <c r="P150" s="188"/>
      <c r="Q150" s="189">
        <f t="shared" si="3"/>
        <v>4200</v>
      </c>
      <c r="R150" s="190"/>
      <c r="S150" s="190"/>
      <c r="T150" s="191"/>
      <c r="U150" s="192">
        <f>(AG121*1000-N150)/2</f>
        <v>1225</v>
      </c>
      <c r="V150" s="193"/>
      <c r="W150" s="193"/>
      <c r="X150" s="194"/>
      <c r="Y150" s="189">
        <f t="shared" si="4"/>
        <v>5145000</v>
      </c>
      <c r="Z150" s="190"/>
      <c r="AA150" s="190"/>
      <c r="AB150" s="190"/>
      <c r="AC150" s="191"/>
      <c r="AD150" s="189">
        <f t="shared" si="5"/>
        <v>6302625000</v>
      </c>
      <c r="AE150" s="190"/>
      <c r="AF150" s="190"/>
      <c r="AG150" s="190"/>
      <c r="AH150" s="190"/>
      <c r="AI150" s="191"/>
      <c r="AJ150" s="189">
        <f>C150*K150*POWER(N150,3)/12</f>
        <v>7875000</v>
      </c>
      <c r="AK150" s="190"/>
      <c r="AL150" s="190"/>
      <c r="AM150" s="190"/>
      <c r="AN150" s="190"/>
      <c r="AO150" s="191"/>
    </row>
    <row r="151" spans="3:41" ht="18" customHeight="1">
      <c r="C151" s="185">
        <v>1</v>
      </c>
      <c r="D151" s="180" t="s">
        <v>72</v>
      </c>
      <c r="E151" s="180" t="s">
        <v>76</v>
      </c>
      <c r="F151" s="180"/>
      <c r="G151" s="180"/>
      <c r="H151" s="180"/>
      <c r="I151" s="180"/>
      <c r="J151" s="181"/>
      <c r="K151" s="186">
        <f>AM127*1000</f>
        <v>2340</v>
      </c>
      <c r="L151" s="187"/>
      <c r="M151" s="188"/>
      <c r="N151" s="186">
        <f>AG129*1000</f>
        <v>15</v>
      </c>
      <c r="O151" s="187"/>
      <c r="P151" s="188"/>
      <c r="Q151" s="189">
        <f t="shared" si="3"/>
        <v>35100</v>
      </c>
      <c r="R151" s="190"/>
      <c r="S151" s="190"/>
      <c r="T151" s="191"/>
      <c r="U151" s="192">
        <f>(N151+AG121*1000)/2</f>
        <v>1307.5</v>
      </c>
      <c r="V151" s="193"/>
      <c r="W151" s="193"/>
      <c r="X151" s="194"/>
      <c r="Y151" s="189">
        <f t="shared" si="4"/>
        <v>45893250</v>
      </c>
      <c r="Z151" s="190"/>
      <c r="AA151" s="190"/>
      <c r="AB151" s="190"/>
      <c r="AC151" s="191"/>
      <c r="AD151" s="189">
        <f t="shared" si="5"/>
        <v>60005424375</v>
      </c>
      <c r="AE151" s="190"/>
      <c r="AF151" s="190"/>
      <c r="AG151" s="190"/>
      <c r="AH151" s="190"/>
      <c r="AI151" s="191"/>
      <c r="AJ151" s="189">
        <f>C151*K151*POWER(N151,3)/12</f>
        <v>658125</v>
      </c>
      <c r="AK151" s="190"/>
      <c r="AL151" s="190"/>
      <c r="AM151" s="190"/>
      <c r="AN151" s="190"/>
      <c r="AO151" s="191"/>
    </row>
    <row r="152" spans="3:41" ht="18" customHeight="1">
      <c r="C152" s="204" t="s">
        <v>141</v>
      </c>
      <c r="D152" s="187"/>
      <c r="E152" s="187"/>
      <c r="F152" s="187"/>
      <c r="G152" s="187"/>
      <c r="H152" s="187"/>
      <c r="I152" s="187"/>
      <c r="J152" s="188"/>
      <c r="K152" s="179"/>
      <c r="L152" s="180"/>
      <c r="M152" s="181"/>
      <c r="N152" s="179"/>
      <c r="O152" s="180"/>
      <c r="P152" s="181"/>
      <c r="Q152" s="205">
        <f>SUM(Q146:Q151)</f>
        <v>141486.46657242166</v>
      </c>
      <c r="R152" s="206"/>
      <c r="S152" s="206"/>
      <c r="T152" s="207"/>
      <c r="U152" s="208"/>
      <c r="V152" s="209"/>
      <c r="W152" s="209"/>
      <c r="X152" s="210"/>
      <c r="Y152" s="189">
        <f>SUM(Y146:Y151)</f>
        <v>-13601250</v>
      </c>
      <c r="Z152" s="190"/>
      <c r="AA152" s="190"/>
      <c r="AB152" s="190"/>
      <c r="AC152" s="191"/>
      <c r="AD152" s="189">
        <f>SUM(AD146:AD151)</f>
        <v>149763039375</v>
      </c>
      <c r="AE152" s="190"/>
      <c r="AF152" s="190"/>
      <c r="AG152" s="190"/>
      <c r="AH152" s="190"/>
      <c r="AI152" s="191"/>
      <c r="AJ152" s="189">
        <f>SUM(AJ146:AJ151)</f>
        <v>29371007400.71092</v>
      </c>
      <c r="AK152" s="190"/>
      <c r="AL152" s="190"/>
      <c r="AM152" s="190"/>
      <c r="AN152" s="190"/>
      <c r="AO152" s="191"/>
    </row>
    <row r="153" spans="7:20" ht="18" customHeight="1">
      <c r="G153" s="211"/>
      <c r="H153" s="211"/>
      <c r="I153" s="211"/>
      <c r="J153" s="211"/>
      <c r="K153" s="11"/>
      <c r="P153" s="212"/>
      <c r="Q153" s="212"/>
      <c r="R153" s="212"/>
      <c r="S153" s="212"/>
      <c r="T153" s="11"/>
    </row>
    <row r="154" spans="7:20" ht="18" customHeight="1">
      <c r="G154" s="211"/>
      <c r="H154" s="211"/>
      <c r="I154" s="211"/>
      <c r="J154" s="211"/>
      <c r="K154" s="11"/>
      <c r="P154" s="212"/>
      <c r="Q154" s="212"/>
      <c r="R154" s="212"/>
      <c r="S154" s="212"/>
      <c r="T154" s="11"/>
    </row>
    <row r="155" ht="18" customHeight="1">
      <c r="A155" s="213" t="s">
        <v>143</v>
      </c>
    </row>
    <row r="166" ht="18" customHeight="1">
      <c r="B166" s="162" t="s">
        <v>144</v>
      </c>
    </row>
    <row r="167" spans="3:32" ht="18" customHeight="1">
      <c r="C167" s="162" t="s">
        <v>77</v>
      </c>
      <c r="L167" s="214">
        <f>AD152</f>
        <v>149763039375</v>
      </c>
      <c r="M167" s="214"/>
      <c r="N167" s="214"/>
      <c r="O167" s="214"/>
      <c r="P167" s="214"/>
      <c r="Q167" s="162" t="s">
        <v>78</v>
      </c>
      <c r="R167" s="215">
        <f>AJ152</f>
        <v>29371007400.71092</v>
      </c>
      <c r="S167" s="215"/>
      <c r="T167" s="215"/>
      <c r="U167" s="215"/>
      <c r="V167" s="215"/>
      <c r="W167" s="215"/>
      <c r="X167" s="215"/>
      <c r="Y167" s="162" t="s">
        <v>79</v>
      </c>
      <c r="Z167" s="214">
        <f>L167+R167</f>
        <v>179134046775.7109</v>
      </c>
      <c r="AA167" s="214"/>
      <c r="AB167" s="214"/>
      <c r="AC167" s="214"/>
      <c r="AD167" s="214"/>
      <c r="AE167" s="214"/>
      <c r="AF167" s="9" t="s">
        <v>31</v>
      </c>
    </row>
    <row r="168" spans="2:46" ht="18" customHeight="1">
      <c r="B168" s="11"/>
      <c r="C168" s="11" t="s">
        <v>80</v>
      </c>
      <c r="D168" s="11"/>
      <c r="E168" s="11"/>
      <c r="F168" s="11"/>
      <c r="G168" s="11"/>
      <c r="H168" s="11"/>
      <c r="I168" s="11"/>
      <c r="J168" s="11"/>
      <c r="K168" s="11"/>
      <c r="L168" s="216">
        <f>Y152</f>
        <v>-13601250</v>
      </c>
      <c r="M168" s="216"/>
      <c r="N168" s="216"/>
      <c r="O168" s="216"/>
      <c r="P168" s="216"/>
      <c r="Q168" s="11" t="s">
        <v>81</v>
      </c>
      <c r="R168" s="216">
        <f>Q152</f>
        <v>141486.46657242166</v>
      </c>
      <c r="S168" s="216"/>
      <c r="T168" s="216"/>
      <c r="U168" s="216"/>
      <c r="V168" s="216"/>
      <c r="W168" s="11" t="s">
        <v>79</v>
      </c>
      <c r="X168" s="217">
        <f>L168/R168</f>
        <v>-96.1311023555601</v>
      </c>
      <c r="Y168" s="217"/>
      <c r="Z168" s="217"/>
      <c r="AA168" s="217"/>
      <c r="AB168" s="217"/>
      <c r="AC168" s="217"/>
      <c r="AD168" s="10" t="s">
        <v>145</v>
      </c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</row>
    <row r="169" spans="2:46" ht="18" customHeight="1">
      <c r="B169" s="11"/>
      <c r="C169" s="11" t="s">
        <v>82</v>
      </c>
      <c r="D169" s="11"/>
      <c r="E169" s="11"/>
      <c r="F169" s="11"/>
      <c r="G169" s="11"/>
      <c r="H169" s="11"/>
      <c r="I169" s="11"/>
      <c r="J169" s="11"/>
      <c r="K169" s="11"/>
      <c r="L169" s="216">
        <f>Z167</f>
        <v>179134046775.7109</v>
      </c>
      <c r="M169" s="216"/>
      <c r="N169" s="216"/>
      <c r="O169" s="216"/>
      <c r="P169" s="216"/>
      <c r="Q169" s="11" t="s">
        <v>72</v>
      </c>
      <c r="R169" s="216">
        <f>Q152</f>
        <v>141486.46657242166</v>
      </c>
      <c r="S169" s="216"/>
      <c r="T169" s="216"/>
      <c r="U169" s="216"/>
      <c r="V169" s="216"/>
      <c r="W169" s="11" t="s">
        <v>83</v>
      </c>
      <c r="X169" s="218">
        <f>X168</f>
        <v>-96.1311023555601</v>
      </c>
      <c r="Y169" s="51"/>
      <c r="Z169" s="51"/>
      <c r="AA169" s="51"/>
      <c r="AB169" s="51"/>
      <c r="AC169" s="11" t="s">
        <v>79</v>
      </c>
      <c r="AD169" s="216">
        <f>L169-R169*X169^2</f>
        <v>177826543619.79733</v>
      </c>
      <c r="AE169" s="216"/>
      <c r="AF169" s="216"/>
      <c r="AG169" s="216"/>
      <c r="AH169" s="216"/>
      <c r="AI169" s="216"/>
      <c r="AJ169" s="9" t="s">
        <v>31</v>
      </c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</row>
    <row r="170" spans="2:46" ht="18" customHeight="1">
      <c r="B170" s="11"/>
      <c r="C170" s="11" t="s">
        <v>146</v>
      </c>
      <c r="D170" s="11"/>
      <c r="E170" s="11"/>
      <c r="F170" s="11"/>
      <c r="G170" s="11"/>
      <c r="H170" s="11"/>
      <c r="I170" s="11"/>
      <c r="J170" s="11"/>
      <c r="K170" s="11"/>
      <c r="L170" s="11"/>
      <c r="M170" s="219">
        <f>-AG121*1000</f>
        <v>-2600</v>
      </c>
      <c r="N170" s="51"/>
      <c r="O170" s="51"/>
      <c r="P170" s="51"/>
      <c r="Q170" s="11" t="s">
        <v>84</v>
      </c>
      <c r="R170" s="11"/>
      <c r="S170" s="11"/>
      <c r="T170" s="11" t="s">
        <v>147</v>
      </c>
      <c r="U170" s="219">
        <f>N146</f>
        <v>15</v>
      </c>
      <c r="V170" s="51"/>
      <c r="W170" s="11" t="s">
        <v>72</v>
      </c>
      <c r="X170" s="51">
        <f>X169</f>
        <v>-96.1311023555601</v>
      </c>
      <c r="Y170" s="51"/>
      <c r="Z170" s="51"/>
      <c r="AA170" s="51"/>
      <c r="AB170" s="51"/>
      <c r="AC170" s="11" t="s">
        <v>79</v>
      </c>
      <c r="AD170" s="51">
        <f>M170/2-U170-X170</f>
        <v>-1218.8688976444398</v>
      </c>
      <c r="AE170" s="51"/>
      <c r="AF170" s="51"/>
      <c r="AG170" s="51"/>
      <c r="AH170" s="51"/>
      <c r="AI170" s="51"/>
      <c r="AJ170" s="10" t="s">
        <v>145</v>
      </c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</row>
    <row r="171" spans="1:46" ht="18" customHeight="1">
      <c r="A171" s="11"/>
      <c r="B171" s="11"/>
      <c r="C171" s="11" t="s">
        <v>148</v>
      </c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51">
        <f>AD170</f>
        <v>-1218.8688976444398</v>
      </c>
      <c r="Q171" s="51"/>
      <c r="R171" s="51"/>
      <c r="S171" s="51"/>
      <c r="T171" s="51"/>
      <c r="U171" s="11" t="s">
        <v>149</v>
      </c>
      <c r="V171" s="51">
        <f>(AG121+AG128+AG129)*1000</f>
        <v>2630.0000000000005</v>
      </c>
      <c r="W171" s="51"/>
      <c r="X171" s="51"/>
      <c r="Y171" s="51"/>
      <c r="Z171" s="11" t="s">
        <v>79</v>
      </c>
      <c r="AA171" s="51">
        <f>P171+V171</f>
        <v>1411.1311023555606</v>
      </c>
      <c r="AB171" s="51"/>
      <c r="AC171" s="51"/>
      <c r="AD171" s="51"/>
      <c r="AE171" s="51"/>
      <c r="AF171" s="10" t="s">
        <v>145</v>
      </c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</row>
    <row r="172" spans="1:46" ht="18" customHeight="1">
      <c r="A172" s="11"/>
      <c r="B172" s="11"/>
      <c r="C172" s="11" t="s">
        <v>150</v>
      </c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 t="s">
        <v>151</v>
      </c>
      <c r="AB172" s="219">
        <f>((AG122+AM122+AG123)/2+AG130)*(AG121+AG128/2+AG129/2)*1000000</f>
        <v>5909899.999999998</v>
      </c>
      <c r="AC172" s="219"/>
      <c r="AD172" s="219"/>
      <c r="AE172" s="219"/>
      <c r="AF172" s="219"/>
      <c r="AG172" s="11" t="s">
        <v>142</v>
      </c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</row>
    <row r="173" spans="1:46" ht="18" customHeight="1">
      <c r="A173" s="11"/>
      <c r="B173" s="11"/>
      <c r="C173" s="11" t="s">
        <v>55</v>
      </c>
      <c r="D173" s="11"/>
      <c r="E173" s="11"/>
      <c r="F173" s="11"/>
      <c r="G173" s="11"/>
      <c r="H173" s="11"/>
      <c r="I173" s="11"/>
      <c r="J173" s="11"/>
      <c r="K173" s="11"/>
      <c r="L173" s="11"/>
      <c r="M173" s="51">
        <f>AG137*1000000*P171/AD169</f>
        <v>-28.277033162811797</v>
      </c>
      <c r="N173" s="51"/>
      <c r="O173" s="51"/>
      <c r="P173" s="51"/>
      <c r="Q173" s="51"/>
      <c r="R173" s="11" t="s">
        <v>28</v>
      </c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</row>
    <row r="174" spans="1:46" ht="18" customHeight="1">
      <c r="A174" s="11"/>
      <c r="B174" s="11"/>
      <c r="C174" s="11" t="s">
        <v>56</v>
      </c>
      <c r="D174" s="11"/>
      <c r="E174" s="11"/>
      <c r="F174" s="11"/>
      <c r="G174" s="11"/>
      <c r="H174" s="11"/>
      <c r="I174" s="11"/>
      <c r="J174" s="11"/>
      <c r="K174" s="11"/>
      <c r="L174" s="11"/>
      <c r="M174" s="51">
        <f>AG137*1000000*AA171/AD169</f>
        <v>32.73740191049118</v>
      </c>
      <c r="N174" s="51"/>
      <c r="O174" s="51"/>
      <c r="P174" s="51"/>
      <c r="Q174" s="51"/>
      <c r="R174" s="11" t="s">
        <v>28</v>
      </c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</row>
    <row r="175" spans="1:45" ht="18" customHeight="1">
      <c r="A175" s="11"/>
      <c r="B175" s="11"/>
      <c r="C175" s="11" t="s">
        <v>57</v>
      </c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51">
        <f>ABS(AG139)*1000/(Q148+Q149)+ABS(AG141)*1000000/(2*AB172*AG130*1000)</f>
        <v>7.748397354387341</v>
      </c>
      <c r="T175" s="51"/>
      <c r="U175" s="51"/>
      <c r="V175" s="51"/>
      <c r="W175" s="51"/>
      <c r="X175" s="11" t="s">
        <v>28</v>
      </c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</row>
    <row r="176" spans="1:45" ht="18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</row>
    <row r="177" spans="1:45" ht="18" customHeight="1">
      <c r="A177" s="11"/>
      <c r="B177" s="11" t="s">
        <v>58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</row>
    <row r="178" spans="1:45" ht="18" customHeight="1">
      <c r="A178" s="11"/>
      <c r="B178" s="11"/>
      <c r="C178" s="11" t="s">
        <v>105</v>
      </c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51">
        <f>AG138*1000000/AD169*AD170</f>
        <v>-23.868381675032854</v>
      </c>
      <c r="O178" s="51"/>
      <c r="P178" s="51"/>
      <c r="Q178" s="51"/>
      <c r="R178" s="51"/>
      <c r="S178" s="11" t="s">
        <v>28</v>
      </c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</row>
    <row r="179" spans="1:45" ht="18" customHeight="1">
      <c r="A179" s="11"/>
      <c r="B179" s="11"/>
      <c r="C179" s="11" t="s">
        <v>106</v>
      </c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51">
        <f>AG138*1000000/AD169*AA171</f>
        <v>27.633337604745158</v>
      </c>
      <c r="O179" s="51"/>
      <c r="P179" s="51"/>
      <c r="Q179" s="51"/>
      <c r="R179" s="51"/>
      <c r="S179" s="11" t="s">
        <v>28</v>
      </c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</row>
    <row r="180" spans="1:45" ht="18" customHeight="1">
      <c r="A180" s="11"/>
      <c r="B180" s="11"/>
      <c r="C180" s="11" t="s">
        <v>107</v>
      </c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51">
        <f>ABS(AG140)*1000/(Q148+Q149)+ABS(AG142)*100000/(2*AB172*AG130*100)</f>
        <v>8.09278253886654</v>
      </c>
      <c r="T180" s="51"/>
      <c r="U180" s="51"/>
      <c r="V180" s="51"/>
      <c r="W180" s="51"/>
      <c r="X180" s="11" t="s">
        <v>28</v>
      </c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</row>
    <row r="181" spans="1:45" ht="18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</row>
    <row r="182" spans="1:54" ht="18" customHeight="1">
      <c r="A182" s="11"/>
      <c r="B182" s="11" t="s">
        <v>59</v>
      </c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U182" s="12" t="s">
        <v>32</v>
      </c>
      <c r="AV182" s="12"/>
      <c r="AW182" s="12"/>
      <c r="AX182" s="12"/>
      <c r="AY182" s="12"/>
      <c r="AZ182" s="12"/>
      <c r="BA182" s="12"/>
      <c r="BB182" s="12"/>
    </row>
    <row r="183" spans="1:88" ht="18" customHeight="1">
      <c r="A183" s="11"/>
      <c r="B183" s="11"/>
      <c r="C183" s="11" t="s">
        <v>108</v>
      </c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51">
        <f>ABS((AG139+AG140)*1000/(Q148+Q149))+ABS((AG141+AG142)/(2*AB172*AG130*1000))*1000000</f>
        <v>15.841179893253882</v>
      </c>
      <c r="AA183" s="51"/>
      <c r="AB183" s="51"/>
      <c r="AC183" s="51"/>
      <c r="AD183" s="11" t="s">
        <v>28</v>
      </c>
      <c r="AE183" s="11"/>
      <c r="AF183" s="11" t="s">
        <v>86</v>
      </c>
      <c r="AG183" s="11" t="s">
        <v>87</v>
      </c>
      <c r="AH183" s="11"/>
      <c r="AI183" s="11"/>
      <c r="AJ183" s="220">
        <f>HLOOKUP(AG119,AX183:CJ186,AU183,FALSE)</f>
        <v>120</v>
      </c>
      <c r="AK183" s="51"/>
      <c r="AL183" s="51"/>
      <c r="AM183" s="11" t="s">
        <v>28</v>
      </c>
      <c r="AN183" s="11"/>
      <c r="AO183" s="11"/>
      <c r="AP183" s="11" t="str">
        <f>IF(Z183&lt;AJ183,"O.K.","N.G.")</f>
        <v>O.K.</v>
      </c>
      <c r="AQ183" s="11"/>
      <c r="AR183" s="11"/>
      <c r="AS183" s="11"/>
      <c r="AU183" s="221">
        <f>IF(AG130&lt;=0.04,2,IF(AG130&lt;=0.075,3,4))</f>
        <v>2</v>
      </c>
      <c r="AV183" s="222"/>
      <c r="AW183" s="223"/>
      <c r="AX183" s="43" t="s">
        <v>4</v>
      </c>
      <c r="AY183" s="44"/>
      <c r="AZ183" s="45"/>
      <c r="BA183" s="43" t="s">
        <v>5</v>
      </c>
      <c r="BB183" s="44"/>
      <c r="BC183" s="45"/>
      <c r="BD183" s="43" t="s">
        <v>6</v>
      </c>
      <c r="BE183" s="44"/>
      <c r="BF183" s="45"/>
      <c r="BG183" s="43" t="s">
        <v>7</v>
      </c>
      <c r="BH183" s="44"/>
      <c r="BI183" s="45"/>
      <c r="BJ183" s="43" t="s">
        <v>88</v>
      </c>
      <c r="BK183" s="44"/>
      <c r="BL183" s="45"/>
      <c r="BM183" s="224" t="s">
        <v>8</v>
      </c>
      <c r="BN183" s="225"/>
      <c r="BO183" s="226"/>
      <c r="BP183" s="43" t="s">
        <v>9</v>
      </c>
      <c r="BQ183" s="44"/>
      <c r="BR183" s="45"/>
      <c r="BS183" s="43" t="s">
        <v>10</v>
      </c>
      <c r="BT183" s="44"/>
      <c r="BU183" s="45"/>
      <c r="BV183" s="43" t="s">
        <v>11</v>
      </c>
      <c r="BW183" s="44"/>
      <c r="BX183" s="45"/>
      <c r="BY183" s="224" t="s">
        <v>12</v>
      </c>
      <c r="BZ183" s="225"/>
      <c r="CA183" s="226"/>
      <c r="CB183" s="43" t="s">
        <v>13</v>
      </c>
      <c r="CC183" s="44"/>
      <c r="CD183" s="45"/>
      <c r="CE183" s="43" t="s">
        <v>14</v>
      </c>
      <c r="CF183" s="44"/>
      <c r="CG183" s="45"/>
      <c r="CH183" s="224" t="s">
        <v>15</v>
      </c>
      <c r="CI183" s="225"/>
      <c r="CJ183" s="226"/>
    </row>
    <row r="184" spans="1:88" ht="18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U184" s="36">
        <v>40</v>
      </c>
      <c r="AV184" s="37"/>
      <c r="AW184" s="38"/>
      <c r="AX184" s="36">
        <v>80</v>
      </c>
      <c r="AY184" s="37"/>
      <c r="AZ184" s="38"/>
      <c r="BA184" s="36">
        <f>AX184</f>
        <v>80</v>
      </c>
      <c r="BB184" s="37"/>
      <c r="BC184" s="38"/>
      <c r="BD184" s="36">
        <f>AX184</f>
        <v>80</v>
      </c>
      <c r="BE184" s="37"/>
      <c r="BF184" s="38"/>
      <c r="BG184" s="36">
        <v>80</v>
      </c>
      <c r="BH184" s="37"/>
      <c r="BI184" s="38"/>
      <c r="BJ184" s="36">
        <v>105</v>
      </c>
      <c r="BK184" s="37"/>
      <c r="BL184" s="38"/>
      <c r="BM184" s="36">
        <v>105</v>
      </c>
      <c r="BN184" s="37"/>
      <c r="BO184" s="38"/>
      <c r="BP184" s="36">
        <v>120</v>
      </c>
      <c r="BQ184" s="37"/>
      <c r="BR184" s="38"/>
      <c r="BS184" s="36">
        <f>BP184</f>
        <v>120</v>
      </c>
      <c r="BT184" s="37"/>
      <c r="BU184" s="38"/>
      <c r="BV184" s="36">
        <f>BP184</f>
        <v>120</v>
      </c>
      <c r="BW184" s="37"/>
      <c r="BX184" s="38"/>
      <c r="BY184" s="36">
        <v>120</v>
      </c>
      <c r="BZ184" s="37"/>
      <c r="CA184" s="38"/>
      <c r="CB184" s="36">
        <v>145</v>
      </c>
      <c r="CC184" s="37"/>
      <c r="CD184" s="38"/>
      <c r="CE184" s="36">
        <f>CB184</f>
        <v>145</v>
      </c>
      <c r="CF184" s="37"/>
      <c r="CG184" s="38"/>
      <c r="CH184" s="36">
        <v>145</v>
      </c>
      <c r="CI184" s="37"/>
      <c r="CJ184" s="38"/>
    </row>
    <row r="185" spans="1:88" ht="18" customHeight="1">
      <c r="A185" s="11"/>
      <c r="B185" s="11" t="s">
        <v>60</v>
      </c>
      <c r="C185" s="11"/>
      <c r="D185" s="11"/>
      <c r="E185" s="11"/>
      <c r="F185" s="11"/>
      <c r="G185" s="11"/>
      <c r="H185" s="11"/>
      <c r="I185" s="11"/>
      <c r="J185" s="11"/>
      <c r="K185" s="227"/>
      <c r="L185" s="11"/>
      <c r="M185" s="11"/>
      <c r="N185" s="11"/>
      <c r="O185" s="11"/>
      <c r="P185" s="11"/>
      <c r="Q185" s="11"/>
      <c r="R185" s="11"/>
      <c r="S185" s="11"/>
      <c r="T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U185" s="228" t="s">
        <v>16</v>
      </c>
      <c r="AV185" s="229"/>
      <c r="AW185" s="230"/>
      <c r="AX185" s="36">
        <v>75</v>
      </c>
      <c r="AY185" s="37"/>
      <c r="AZ185" s="38"/>
      <c r="BA185" s="36">
        <f>AX185</f>
        <v>75</v>
      </c>
      <c r="BB185" s="37"/>
      <c r="BC185" s="38"/>
      <c r="BD185" s="36">
        <f>AX185</f>
        <v>75</v>
      </c>
      <c r="BE185" s="37"/>
      <c r="BF185" s="38"/>
      <c r="BG185" s="36">
        <v>80</v>
      </c>
      <c r="BH185" s="37"/>
      <c r="BI185" s="38"/>
      <c r="BJ185" s="36">
        <v>100</v>
      </c>
      <c r="BK185" s="37"/>
      <c r="BL185" s="38"/>
      <c r="BM185" s="36">
        <v>105</v>
      </c>
      <c r="BN185" s="37"/>
      <c r="BO185" s="38"/>
      <c r="BP185" s="36">
        <v>115</v>
      </c>
      <c r="BQ185" s="37"/>
      <c r="BR185" s="38"/>
      <c r="BS185" s="36">
        <f>BP185</f>
        <v>115</v>
      </c>
      <c r="BT185" s="37"/>
      <c r="BU185" s="38"/>
      <c r="BV185" s="36">
        <f>BP185</f>
        <v>115</v>
      </c>
      <c r="BW185" s="37"/>
      <c r="BX185" s="38"/>
      <c r="BY185" s="36">
        <v>120</v>
      </c>
      <c r="BZ185" s="37"/>
      <c r="CA185" s="38"/>
      <c r="CB185" s="36">
        <v>140</v>
      </c>
      <c r="CC185" s="37"/>
      <c r="CD185" s="38"/>
      <c r="CE185" s="36">
        <f>CB185</f>
        <v>140</v>
      </c>
      <c r="CF185" s="37"/>
      <c r="CG185" s="38"/>
      <c r="CH185" s="36">
        <v>145</v>
      </c>
      <c r="CI185" s="37"/>
      <c r="CJ185" s="38"/>
    </row>
    <row r="186" spans="1:88" ht="18" customHeight="1">
      <c r="A186" s="11"/>
      <c r="B186" s="11"/>
      <c r="C186" s="11" t="s">
        <v>285</v>
      </c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U186" s="228" t="s">
        <v>17</v>
      </c>
      <c r="AV186" s="229"/>
      <c r="AW186" s="230"/>
      <c r="AX186" s="36">
        <v>75</v>
      </c>
      <c r="AY186" s="37"/>
      <c r="AZ186" s="38"/>
      <c r="BA186" s="36">
        <f>AX186</f>
        <v>75</v>
      </c>
      <c r="BB186" s="37"/>
      <c r="BC186" s="38"/>
      <c r="BD186" s="36">
        <f>AX186</f>
        <v>75</v>
      </c>
      <c r="BE186" s="37"/>
      <c r="BF186" s="38"/>
      <c r="BG186" s="36">
        <v>80</v>
      </c>
      <c r="BH186" s="37"/>
      <c r="BI186" s="38"/>
      <c r="BJ186" s="36">
        <v>100</v>
      </c>
      <c r="BK186" s="37"/>
      <c r="BL186" s="38"/>
      <c r="BM186" s="36">
        <v>105</v>
      </c>
      <c r="BN186" s="37"/>
      <c r="BO186" s="38"/>
      <c r="BP186" s="36">
        <v>110</v>
      </c>
      <c r="BQ186" s="37"/>
      <c r="BR186" s="38"/>
      <c r="BS186" s="36">
        <f>BP186</f>
        <v>110</v>
      </c>
      <c r="BT186" s="37"/>
      <c r="BU186" s="38"/>
      <c r="BV186" s="36">
        <f>BP186</f>
        <v>110</v>
      </c>
      <c r="BW186" s="37"/>
      <c r="BX186" s="38"/>
      <c r="BY186" s="36">
        <v>120</v>
      </c>
      <c r="BZ186" s="37"/>
      <c r="CA186" s="38"/>
      <c r="CB186" s="36">
        <v>135</v>
      </c>
      <c r="CC186" s="37"/>
      <c r="CD186" s="38"/>
      <c r="CE186" s="36">
        <f>CB186</f>
        <v>135</v>
      </c>
      <c r="CF186" s="37"/>
      <c r="CG186" s="38"/>
      <c r="CH186" s="36">
        <v>145</v>
      </c>
      <c r="CI186" s="37"/>
      <c r="CJ186" s="38"/>
    </row>
    <row r="187" spans="1:57" ht="18" customHeight="1">
      <c r="A187" s="11"/>
      <c r="B187" s="11"/>
      <c r="C187" s="11"/>
      <c r="D187" s="11" t="s">
        <v>79</v>
      </c>
      <c r="E187" s="51">
        <v>0.65</v>
      </c>
      <c r="F187" s="51"/>
      <c r="G187" s="51"/>
      <c r="H187" s="11" t="s">
        <v>83</v>
      </c>
      <c r="I187" s="11" t="s">
        <v>85</v>
      </c>
      <c r="J187" s="219">
        <v>0</v>
      </c>
      <c r="K187" s="51"/>
      <c r="L187" s="11" t="s">
        <v>81</v>
      </c>
      <c r="M187" s="220">
        <f>IF((AG137+AG138)&gt;=0,C147+1,C150+1)</f>
        <v>6</v>
      </c>
      <c r="N187" s="51"/>
      <c r="O187" s="11" t="s">
        <v>286</v>
      </c>
      <c r="P187" s="11" t="s">
        <v>78</v>
      </c>
      <c r="Q187" s="51">
        <v>0.13</v>
      </c>
      <c r="R187" s="51"/>
      <c r="S187" s="51"/>
      <c r="T187" s="11" t="s">
        <v>83</v>
      </c>
      <c r="U187" s="11" t="s">
        <v>85</v>
      </c>
      <c r="V187" s="219">
        <v>0</v>
      </c>
      <c r="W187" s="51"/>
      <c r="X187" s="11" t="s">
        <v>81</v>
      </c>
      <c r="Y187" s="220">
        <f>M187</f>
        <v>6</v>
      </c>
      <c r="Z187" s="51"/>
      <c r="AA187" s="11" t="s">
        <v>89</v>
      </c>
      <c r="AB187" s="11" t="s">
        <v>78</v>
      </c>
      <c r="AC187" s="219">
        <v>1</v>
      </c>
      <c r="AD187" s="51"/>
      <c r="AE187" s="11" t="s">
        <v>79</v>
      </c>
      <c r="AF187" s="51">
        <v>1</v>
      </c>
      <c r="AG187" s="51"/>
      <c r="AH187" s="51"/>
      <c r="AI187" s="5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U187" s="13" t="s">
        <v>33</v>
      </c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</row>
    <row r="188" spans="1:88" ht="18" customHeight="1">
      <c r="A188" s="11"/>
      <c r="B188" s="11"/>
      <c r="C188" s="11"/>
      <c r="D188" s="11" t="s">
        <v>34</v>
      </c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231"/>
      <c r="AU188" s="36">
        <f>IF(AG129&lt;=0.04,2,IF(AG129&lt;=0.075,3,4))</f>
        <v>2</v>
      </c>
      <c r="AV188" s="37"/>
      <c r="AW188" s="38"/>
      <c r="AX188" s="43" t="s">
        <v>4</v>
      </c>
      <c r="AY188" s="44"/>
      <c r="AZ188" s="45"/>
      <c r="BA188" s="43" t="s">
        <v>5</v>
      </c>
      <c r="BB188" s="44"/>
      <c r="BC188" s="45"/>
      <c r="BD188" s="43" t="s">
        <v>6</v>
      </c>
      <c r="BE188" s="44"/>
      <c r="BF188" s="45"/>
      <c r="BG188" s="43" t="s">
        <v>7</v>
      </c>
      <c r="BH188" s="44"/>
      <c r="BI188" s="45"/>
      <c r="BJ188" s="43" t="s">
        <v>88</v>
      </c>
      <c r="BK188" s="44"/>
      <c r="BL188" s="45"/>
      <c r="BM188" s="224" t="s">
        <v>8</v>
      </c>
      <c r="BN188" s="225"/>
      <c r="BO188" s="226"/>
      <c r="BP188" s="43" t="s">
        <v>9</v>
      </c>
      <c r="BQ188" s="44"/>
      <c r="BR188" s="45"/>
      <c r="BS188" s="43" t="s">
        <v>10</v>
      </c>
      <c r="BT188" s="44"/>
      <c r="BU188" s="45"/>
      <c r="BV188" s="43" t="s">
        <v>11</v>
      </c>
      <c r="BW188" s="44"/>
      <c r="BX188" s="45"/>
      <c r="BY188" s="224" t="s">
        <v>12</v>
      </c>
      <c r="BZ188" s="225"/>
      <c r="CA188" s="226"/>
      <c r="CB188" s="43" t="s">
        <v>13</v>
      </c>
      <c r="CC188" s="44"/>
      <c r="CD188" s="45"/>
      <c r="CE188" s="43" t="s">
        <v>14</v>
      </c>
      <c r="CF188" s="44"/>
      <c r="CG188" s="45"/>
      <c r="CH188" s="224" t="s">
        <v>15</v>
      </c>
      <c r="CI188" s="225"/>
      <c r="CJ188" s="226"/>
    </row>
    <row r="189" spans="1:88" ht="18" customHeight="1">
      <c r="A189" s="11"/>
      <c r="B189" s="11"/>
      <c r="C189" s="11"/>
      <c r="D189" s="11" t="s">
        <v>18</v>
      </c>
      <c r="E189" s="11"/>
      <c r="F189" s="11"/>
      <c r="G189" s="11"/>
      <c r="H189" s="11" t="s">
        <v>19</v>
      </c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231"/>
      <c r="AU189" s="36">
        <v>40</v>
      </c>
      <c r="AV189" s="37"/>
      <c r="AW189" s="38"/>
      <c r="AX189" s="36">
        <v>140</v>
      </c>
      <c r="AY189" s="37"/>
      <c r="AZ189" s="38"/>
      <c r="BA189" s="36">
        <f>AX189</f>
        <v>140</v>
      </c>
      <c r="BB189" s="37"/>
      <c r="BC189" s="38"/>
      <c r="BD189" s="36">
        <f>AX189</f>
        <v>140</v>
      </c>
      <c r="BE189" s="37"/>
      <c r="BF189" s="38"/>
      <c r="BG189" s="36">
        <v>140</v>
      </c>
      <c r="BH189" s="37"/>
      <c r="BI189" s="38"/>
      <c r="BJ189" s="36">
        <v>185</v>
      </c>
      <c r="BK189" s="37"/>
      <c r="BL189" s="38"/>
      <c r="BM189" s="36">
        <f>BJ189</f>
        <v>185</v>
      </c>
      <c r="BN189" s="37"/>
      <c r="BO189" s="38"/>
      <c r="BP189" s="36">
        <v>210</v>
      </c>
      <c r="BQ189" s="37"/>
      <c r="BR189" s="38"/>
      <c r="BS189" s="36">
        <f>BP189</f>
        <v>210</v>
      </c>
      <c r="BT189" s="37"/>
      <c r="BU189" s="38"/>
      <c r="BV189" s="36">
        <f>BP189</f>
        <v>210</v>
      </c>
      <c r="BW189" s="37"/>
      <c r="BX189" s="38"/>
      <c r="BY189" s="36">
        <v>210</v>
      </c>
      <c r="BZ189" s="37"/>
      <c r="CA189" s="38"/>
      <c r="CB189" s="36">
        <v>255</v>
      </c>
      <c r="CC189" s="37"/>
      <c r="CD189" s="38"/>
      <c r="CE189" s="36">
        <f>CB189</f>
        <v>255</v>
      </c>
      <c r="CF189" s="37"/>
      <c r="CG189" s="38"/>
      <c r="CH189" s="36">
        <f>CE189</f>
        <v>255</v>
      </c>
      <c r="CI189" s="37"/>
      <c r="CJ189" s="38"/>
    </row>
    <row r="190" spans="1:88" ht="18" customHeight="1">
      <c r="A190" s="11"/>
      <c r="B190" s="11"/>
      <c r="C190" s="11"/>
      <c r="D190" s="11"/>
      <c r="E190" s="11"/>
      <c r="F190" s="11"/>
      <c r="G190" s="11"/>
      <c r="H190" s="11" t="s">
        <v>20</v>
      </c>
      <c r="I190" s="11"/>
      <c r="J190" s="11"/>
      <c r="K190" s="11"/>
      <c r="L190" s="11"/>
      <c r="M190" s="11"/>
      <c r="N190" s="11"/>
      <c r="O190" s="11"/>
      <c r="P190" s="11"/>
      <c r="Q190" s="11" t="s">
        <v>21</v>
      </c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231"/>
      <c r="AU190" s="228" t="s">
        <v>16</v>
      </c>
      <c r="AV190" s="229"/>
      <c r="AW190" s="230"/>
      <c r="AX190" s="36">
        <v>125</v>
      </c>
      <c r="AY190" s="37"/>
      <c r="AZ190" s="38"/>
      <c r="BA190" s="36">
        <f>AX190</f>
        <v>125</v>
      </c>
      <c r="BB190" s="37"/>
      <c r="BC190" s="38"/>
      <c r="BD190" s="36">
        <f>AX190</f>
        <v>125</v>
      </c>
      <c r="BE190" s="37"/>
      <c r="BF190" s="38"/>
      <c r="BG190" s="36">
        <v>140</v>
      </c>
      <c r="BH190" s="37"/>
      <c r="BI190" s="38"/>
      <c r="BJ190" s="36">
        <v>175</v>
      </c>
      <c r="BK190" s="37"/>
      <c r="BL190" s="38"/>
      <c r="BM190" s="36">
        <f>BM189</f>
        <v>185</v>
      </c>
      <c r="BN190" s="37"/>
      <c r="BO190" s="38"/>
      <c r="BP190" s="36">
        <v>195</v>
      </c>
      <c r="BQ190" s="37"/>
      <c r="BR190" s="38"/>
      <c r="BS190" s="36">
        <f>BP190</f>
        <v>195</v>
      </c>
      <c r="BT190" s="37"/>
      <c r="BU190" s="38"/>
      <c r="BV190" s="36">
        <f>BP190</f>
        <v>195</v>
      </c>
      <c r="BW190" s="37"/>
      <c r="BX190" s="38"/>
      <c r="BY190" s="36">
        <v>210</v>
      </c>
      <c r="BZ190" s="37"/>
      <c r="CA190" s="38"/>
      <c r="CB190" s="36">
        <v>245</v>
      </c>
      <c r="CC190" s="37"/>
      <c r="CD190" s="38"/>
      <c r="CE190" s="36">
        <f>CB190</f>
        <v>245</v>
      </c>
      <c r="CF190" s="37"/>
      <c r="CG190" s="38"/>
      <c r="CH190" s="36">
        <f>CH189</f>
        <v>255</v>
      </c>
      <c r="CI190" s="37"/>
      <c r="CJ190" s="38"/>
    </row>
    <row r="191" spans="1:88" ht="18" customHeight="1">
      <c r="A191" s="11"/>
      <c r="B191" s="11"/>
      <c r="C191" s="11"/>
      <c r="D191" s="11"/>
      <c r="E191" s="11"/>
      <c r="F191" s="11"/>
      <c r="G191" s="11"/>
      <c r="H191" s="11" t="s">
        <v>35</v>
      </c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U191" s="228" t="s">
        <v>17</v>
      </c>
      <c r="AV191" s="229"/>
      <c r="AW191" s="230"/>
      <c r="AX191" s="36">
        <v>125</v>
      </c>
      <c r="AY191" s="37"/>
      <c r="AZ191" s="38"/>
      <c r="BA191" s="36">
        <f>AX191</f>
        <v>125</v>
      </c>
      <c r="BB191" s="37"/>
      <c r="BC191" s="38"/>
      <c r="BD191" s="36">
        <f>AX191</f>
        <v>125</v>
      </c>
      <c r="BE191" s="37"/>
      <c r="BF191" s="38"/>
      <c r="BG191" s="36">
        <v>140</v>
      </c>
      <c r="BH191" s="37"/>
      <c r="BI191" s="38"/>
      <c r="BJ191" s="36">
        <v>175</v>
      </c>
      <c r="BK191" s="37"/>
      <c r="BL191" s="38"/>
      <c r="BM191" s="36">
        <f>BM189</f>
        <v>185</v>
      </c>
      <c r="BN191" s="37"/>
      <c r="BO191" s="38"/>
      <c r="BP191" s="36">
        <v>190</v>
      </c>
      <c r="BQ191" s="37"/>
      <c r="BR191" s="38"/>
      <c r="BS191" s="36">
        <f>BP191</f>
        <v>190</v>
      </c>
      <c r="BT191" s="37"/>
      <c r="BU191" s="38"/>
      <c r="BV191" s="36">
        <f>BP191</f>
        <v>190</v>
      </c>
      <c r="BW191" s="37"/>
      <c r="BX191" s="38"/>
      <c r="BY191" s="36">
        <v>210</v>
      </c>
      <c r="BZ191" s="37"/>
      <c r="CA191" s="38"/>
      <c r="CB191" s="36">
        <v>240</v>
      </c>
      <c r="CC191" s="37"/>
      <c r="CD191" s="38"/>
      <c r="CE191" s="36">
        <f>CB191</f>
        <v>240</v>
      </c>
      <c r="CF191" s="37"/>
      <c r="CG191" s="38"/>
      <c r="CH191" s="36">
        <f>CH189</f>
        <v>255</v>
      </c>
      <c r="CI191" s="37"/>
      <c r="CJ191" s="38"/>
    </row>
    <row r="192" spans="1:57" ht="18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 t="s">
        <v>36</v>
      </c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4"/>
      <c r="AU192" s="13" t="s">
        <v>37</v>
      </c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</row>
    <row r="193" spans="1:88" ht="18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5"/>
      <c r="AU193" s="36">
        <f>IF(AG128&lt;=0.04,2,IF(AG128&lt;=0.075,3,4))</f>
        <v>2</v>
      </c>
      <c r="AV193" s="37"/>
      <c r="AW193" s="38"/>
      <c r="AX193" s="43" t="s">
        <v>4</v>
      </c>
      <c r="AY193" s="44"/>
      <c r="AZ193" s="45"/>
      <c r="BA193" s="43" t="s">
        <v>5</v>
      </c>
      <c r="BB193" s="44"/>
      <c r="BC193" s="45"/>
      <c r="BD193" s="43" t="s">
        <v>6</v>
      </c>
      <c r="BE193" s="44"/>
      <c r="BF193" s="45"/>
      <c r="BG193" s="43" t="s">
        <v>7</v>
      </c>
      <c r="BH193" s="44"/>
      <c r="BI193" s="45"/>
      <c r="BJ193" s="43" t="s">
        <v>88</v>
      </c>
      <c r="BK193" s="44"/>
      <c r="BL193" s="45"/>
      <c r="BM193" s="224" t="s">
        <v>8</v>
      </c>
      <c r="BN193" s="225"/>
      <c r="BO193" s="226"/>
      <c r="BP193" s="43" t="s">
        <v>9</v>
      </c>
      <c r="BQ193" s="44"/>
      <c r="BR193" s="45"/>
      <c r="BS193" s="43" t="s">
        <v>10</v>
      </c>
      <c r="BT193" s="44"/>
      <c r="BU193" s="45"/>
      <c r="BV193" s="43" t="s">
        <v>11</v>
      </c>
      <c r="BW193" s="44"/>
      <c r="BX193" s="45"/>
      <c r="BY193" s="224" t="s">
        <v>12</v>
      </c>
      <c r="BZ193" s="225"/>
      <c r="CA193" s="226"/>
      <c r="CB193" s="43" t="s">
        <v>13</v>
      </c>
      <c r="CC193" s="44"/>
      <c r="CD193" s="45"/>
      <c r="CE193" s="43" t="s">
        <v>14</v>
      </c>
      <c r="CF193" s="44"/>
      <c r="CG193" s="45"/>
      <c r="CH193" s="224" t="s">
        <v>15</v>
      </c>
      <c r="CI193" s="225"/>
      <c r="CJ193" s="226"/>
    </row>
    <row r="194" spans="1:88" ht="18" customHeight="1">
      <c r="A194" s="11"/>
      <c r="B194" s="11"/>
      <c r="C194" s="11" t="s">
        <v>22</v>
      </c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 t="s">
        <v>85</v>
      </c>
      <c r="S194" s="51" t="str">
        <f>AG119</f>
        <v>SMA490</v>
      </c>
      <c r="T194" s="51"/>
      <c r="U194" s="51"/>
      <c r="V194" s="51"/>
      <c r="W194" s="11" t="s">
        <v>23</v>
      </c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232"/>
      <c r="AU194" s="36">
        <v>40</v>
      </c>
      <c r="AV194" s="37"/>
      <c r="AW194" s="38"/>
      <c r="AX194" s="36">
        <v>140</v>
      </c>
      <c r="AY194" s="37"/>
      <c r="AZ194" s="38"/>
      <c r="BA194" s="36">
        <f>AX194</f>
        <v>140</v>
      </c>
      <c r="BB194" s="37"/>
      <c r="BC194" s="38"/>
      <c r="BD194" s="36">
        <f>AX194</f>
        <v>140</v>
      </c>
      <c r="BE194" s="37"/>
      <c r="BF194" s="38"/>
      <c r="BG194" s="36">
        <v>140</v>
      </c>
      <c r="BH194" s="37"/>
      <c r="BI194" s="38"/>
      <c r="BJ194" s="36">
        <v>185</v>
      </c>
      <c r="BK194" s="37"/>
      <c r="BL194" s="38"/>
      <c r="BM194" s="36">
        <f>BJ194</f>
        <v>185</v>
      </c>
      <c r="BN194" s="37"/>
      <c r="BO194" s="38"/>
      <c r="BP194" s="36">
        <v>210</v>
      </c>
      <c r="BQ194" s="37"/>
      <c r="BR194" s="38"/>
      <c r="BS194" s="36">
        <f>BP194</f>
        <v>210</v>
      </c>
      <c r="BT194" s="37"/>
      <c r="BU194" s="38"/>
      <c r="BV194" s="36">
        <f>BP194</f>
        <v>210</v>
      </c>
      <c r="BW194" s="37"/>
      <c r="BX194" s="38"/>
      <c r="BY194" s="36">
        <v>210</v>
      </c>
      <c r="BZ194" s="37"/>
      <c r="CA194" s="38"/>
      <c r="CB194" s="36">
        <v>255</v>
      </c>
      <c r="CC194" s="37"/>
      <c r="CD194" s="38"/>
      <c r="CE194" s="36">
        <f>CB194</f>
        <v>255</v>
      </c>
      <c r="CF194" s="37"/>
      <c r="CG194" s="38"/>
      <c r="CH194" s="36">
        <f>CE194</f>
        <v>255</v>
      </c>
      <c r="CI194" s="37"/>
      <c r="CJ194" s="38"/>
    </row>
    <row r="195" spans="1:88" ht="18" customHeight="1">
      <c r="A195" s="11"/>
      <c r="B195" s="11"/>
      <c r="C195" s="11"/>
      <c r="D195" s="11"/>
      <c r="E195" s="11" t="s">
        <v>90</v>
      </c>
      <c r="F195" s="11"/>
      <c r="G195" s="11"/>
      <c r="H195" s="219">
        <f>HLOOKUP(S194,AX188:CJ191,AU188,FALSE)</f>
        <v>210</v>
      </c>
      <c r="I195" s="219"/>
      <c r="J195" s="219"/>
      <c r="K195" s="219"/>
      <c r="L195" s="11" t="s">
        <v>28</v>
      </c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U195" s="228" t="s">
        <v>16</v>
      </c>
      <c r="AV195" s="229"/>
      <c r="AW195" s="230"/>
      <c r="AX195" s="36">
        <v>125</v>
      </c>
      <c r="AY195" s="37"/>
      <c r="AZ195" s="38"/>
      <c r="BA195" s="36">
        <f>AX195</f>
        <v>125</v>
      </c>
      <c r="BB195" s="37"/>
      <c r="BC195" s="38"/>
      <c r="BD195" s="36">
        <f>AX195</f>
        <v>125</v>
      </c>
      <c r="BE195" s="37"/>
      <c r="BF195" s="38"/>
      <c r="BG195" s="36">
        <v>140</v>
      </c>
      <c r="BH195" s="37"/>
      <c r="BI195" s="38"/>
      <c r="BJ195" s="36">
        <v>175</v>
      </c>
      <c r="BK195" s="37"/>
      <c r="BL195" s="38"/>
      <c r="BM195" s="36">
        <f>BM194</f>
        <v>185</v>
      </c>
      <c r="BN195" s="37"/>
      <c r="BO195" s="38"/>
      <c r="BP195" s="36">
        <v>195</v>
      </c>
      <c r="BQ195" s="37"/>
      <c r="BR195" s="38"/>
      <c r="BS195" s="36">
        <f>BP195</f>
        <v>195</v>
      </c>
      <c r="BT195" s="37"/>
      <c r="BU195" s="38"/>
      <c r="BV195" s="36">
        <f>BP195</f>
        <v>195</v>
      </c>
      <c r="BW195" s="37"/>
      <c r="BX195" s="38"/>
      <c r="BY195" s="36">
        <v>210</v>
      </c>
      <c r="BZ195" s="37"/>
      <c r="CA195" s="38"/>
      <c r="CB195" s="36">
        <v>245</v>
      </c>
      <c r="CC195" s="37"/>
      <c r="CD195" s="38"/>
      <c r="CE195" s="36">
        <f>CB195</f>
        <v>245</v>
      </c>
      <c r="CF195" s="37"/>
      <c r="CG195" s="38"/>
      <c r="CH195" s="36">
        <f>CH194</f>
        <v>255</v>
      </c>
      <c r="CI195" s="37"/>
      <c r="CJ195" s="38"/>
    </row>
    <row r="196" spans="1:88" ht="18" customHeight="1">
      <c r="A196" s="11"/>
      <c r="B196" s="11"/>
      <c r="C196" s="11" t="s">
        <v>24</v>
      </c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 t="s">
        <v>85</v>
      </c>
      <c r="S196" s="51" t="str">
        <f>S194</f>
        <v>SMA490</v>
      </c>
      <c r="T196" s="51"/>
      <c r="U196" s="51"/>
      <c r="V196" s="51"/>
      <c r="W196" s="11" t="s">
        <v>23</v>
      </c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U196" s="228" t="s">
        <v>17</v>
      </c>
      <c r="AV196" s="229"/>
      <c r="AW196" s="230"/>
      <c r="AX196" s="36">
        <v>125</v>
      </c>
      <c r="AY196" s="37"/>
      <c r="AZ196" s="38"/>
      <c r="BA196" s="36">
        <f>AX196</f>
        <v>125</v>
      </c>
      <c r="BB196" s="37"/>
      <c r="BC196" s="38"/>
      <c r="BD196" s="36">
        <f>AX196</f>
        <v>125</v>
      </c>
      <c r="BE196" s="37"/>
      <c r="BF196" s="38"/>
      <c r="BG196" s="36">
        <v>140</v>
      </c>
      <c r="BH196" s="37"/>
      <c r="BI196" s="38"/>
      <c r="BJ196" s="36">
        <v>175</v>
      </c>
      <c r="BK196" s="37"/>
      <c r="BL196" s="38"/>
      <c r="BM196" s="36">
        <f>BM194</f>
        <v>185</v>
      </c>
      <c r="BN196" s="37"/>
      <c r="BO196" s="38"/>
      <c r="BP196" s="36">
        <v>190</v>
      </c>
      <c r="BQ196" s="37"/>
      <c r="BR196" s="38"/>
      <c r="BS196" s="36">
        <f>BP196</f>
        <v>190</v>
      </c>
      <c r="BT196" s="37"/>
      <c r="BU196" s="38"/>
      <c r="BV196" s="36">
        <f>BP196</f>
        <v>190</v>
      </c>
      <c r="BW196" s="37"/>
      <c r="BX196" s="38"/>
      <c r="BY196" s="36">
        <v>210</v>
      </c>
      <c r="BZ196" s="37"/>
      <c r="CA196" s="38"/>
      <c r="CB196" s="36">
        <v>240</v>
      </c>
      <c r="CC196" s="37"/>
      <c r="CD196" s="38"/>
      <c r="CE196" s="36">
        <f>CB196</f>
        <v>240</v>
      </c>
      <c r="CF196" s="37"/>
      <c r="CG196" s="38"/>
      <c r="CH196" s="36">
        <f>CH194</f>
        <v>255</v>
      </c>
      <c r="CI196" s="37"/>
      <c r="CJ196" s="38"/>
    </row>
    <row r="197" spans="1:57" ht="18" customHeight="1">
      <c r="A197" s="11"/>
      <c r="B197" s="11"/>
      <c r="C197" s="11"/>
      <c r="D197" s="11"/>
      <c r="E197" s="51" t="s">
        <v>38</v>
      </c>
      <c r="F197" s="51"/>
      <c r="G197" s="51"/>
      <c r="H197" s="51"/>
      <c r="I197" s="51"/>
      <c r="J197" s="233"/>
      <c r="K197" s="234" t="s">
        <v>91</v>
      </c>
      <c r="L197" s="234"/>
      <c r="M197" s="233"/>
      <c r="N197" s="233"/>
      <c r="O197" s="11"/>
      <c r="P197" s="51" t="s">
        <v>79</v>
      </c>
      <c r="Q197" s="11"/>
      <c r="R197" s="233"/>
      <c r="S197" s="233"/>
      <c r="T197" s="235">
        <f>(AG122+AM122)*1000</f>
        <v>2400</v>
      </c>
      <c r="U197" s="234"/>
      <c r="V197" s="234"/>
      <c r="W197" s="233"/>
      <c r="X197" s="233"/>
      <c r="Y197" s="233"/>
      <c r="Z197" s="233"/>
      <c r="AA197" s="51" t="s">
        <v>79</v>
      </c>
      <c r="AB197" s="51"/>
      <c r="AC197" s="219">
        <f>T197/(R198*U198*Y198)</f>
        <v>18.181818181818183</v>
      </c>
      <c r="AD197" s="219"/>
      <c r="AE197" s="219"/>
      <c r="AF197" s="51" t="s">
        <v>71</v>
      </c>
      <c r="AG197" s="5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U197" s="13" t="s">
        <v>39</v>
      </c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</row>
    <row r="198" spans="1:88" ht="18" customHeight="1">
      <c r="A198" s="11"/>
      <c r="B198" s="11"/>
      <c r="C198" s="11"/>
      <c r="D198" s="11"/>
      <c r="E198" s="51"/>
      <c r="F198" s="51"/>
      <c r="G198" s="51"/>
      <c r="H198" s="51"/>
      <c r="I198" s="51"/>
      <c r="J198" s="236">
        <f>HLOOKUP(S196,AX198:CJ201,AU199,FALSE)</f>
        <v>22</v>
      </c>
      <c r="K198" s="237"/>
      <c r="L198" s="11" t="s">
        <v>92</v>
      </c>
      <c r="M198" s="11"/>
      <c r="N198" s="11"/>
      <c r="O198" s="11"/>
      <c r="P198" s="51"/>
      <c r="Q198" s="11"/>
      <c r="R198" s="236">
        <f>J198</f>
        <v>22</v>
      </c>
      <c r="S198" s="237"/>
      <c r="T198" s="11" t="s">
        <v>83</v>
      </c>
      <c r="U198" s="237">
        <f>AF187</f>
        <v>1</v>
      </c>
      <c r="V198" s="237"/>
      <c r="W198" s="237"/>
      <c r="X198" s="11" t="s">
        <v>83</v>
      </c>
      <c r="Y198" s="236">
        <f>C147+1</f>
        <v>6</v>
      </c>
      <c r="Z198" s="237"/>
      <c r="AA198" s="51"/>
      <c r="AB198" s="51"/>
      <c r="AC198" s="219"/>
      <c r="AD198" s="219"/>
      <c r="AE198" s="219"/>
      <c r="AF198" s="51"/>
      <c r="AG198" s="5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U198" s="36">
        <f>AU193</f>
        <v>2</v>
      </c>
      <c r="AV198" s="37"/>
      <c r="AW198" s="38"/>
      <c r="AX198" s="43" t="s">
        <v>4</v>
      </c>
      <c r="AY198" s="44"/>
      <c r="AZ198" s="45"/>
      <c r="BA198" s="46" t="s">
        <v>5</v>
      </c>
      <c r="BB198" s="47"/>
      <c r="BC198" s="48"/>
      <c r="BD198" s="43" t="s">
        <v>6</v>
      </c>
      <c r="BE198" s="44"/>
      <c r="BF198" s="45"/>
      <c r="BG198" s="43" t="s">
        <v>7</v>
      </c>
      <c r="BH198" s="44"/>
      <c r="BI198" s="45"/>
      <c r="BJ198" s="43" t="s">
        <v>88</v>
      </c>
      <c r="BK198" s="44"/>
      <c r="BL198" s="45"/>
      <c r="BM198" s="224" t="s">
        <v>8</v>
      </c>
      <c r="BN198" s="225"/>
      <c r="BO198" s="226"/>
      <c r="BP198" s="43" t="s">
        <v>9</v>
      </c>
      <c r="BQ198" s="44"/>
      <c r="BR198" s="45"/>
      <c r="BS198" s="43" t="s">
        <v>10</v>
      </c>
      <c r="BT198" s="44"/>
      <c r="BU198" s="45"/>
      <c r="BV198" s="43" t="s">
        <v>11</v>
      </c>
      <c r="BW198" s="44"/>
      <c r="BX198" s="45"/>
      <c r="BY198" s="224" t="s">
        <v>12</v>
      </c>
      <c r="BZ198" s="225"/>
      <c r="CA198" s="226"/>
      <c r="CB198" s="43" t="s">
        <v>13</v>
      </c>
      <c r="CC198" s="44"/>
      <c r="CD198" s="45"/>
      <c r="CE198" s="43" t="s">
        <v>14</v>
      </c>
      <c r="CF198" s="44"/>
      <c r="CG198" s="45"/>
      <c r="CH198" s="224" t="s">
        <v>15</v>
      </c>
      <c r="CI198" s="225"/>
      <c r="CJ198" s="226"/>
    </row>
    <row r="199" spans="1:88" ht="18" customHeight="1">
      <c r="A199" s="11"/>
      <c r="B199" s="11"/>
      <c r="C199" s="11"/>
      <c r="D199" s="11"/>
      <c r="E199" s="11"/>
      <c r="F199" s="11"/>
      <c r="G199" s="11" t="s">
        <v>25</v>
      </c>
      <c r="H199" s="11"/>
      <c r="I199" s="11"/>
      <c r="J199" s="11"/>
      <c r="K199" s="11"/>
      <c r="L199" s="11"/>
      <c r="M199" s="11"/>
      <c r="N199" s="11"/>
      <c r="O199" s="167">
        <f>HLOOKUP(S196,AX193:CJ196,AU193,FALSE)</f>
        <v>210</v>
      </c>
      <c r="P199" s="167"/>
      <c r="Q199" s="167"/>
      <c r="R199" s="167"/>
      <c r="S199" s="11" t="s">
        <v>28</v>
      </c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U199" s="36">
        <v>2</v>
      </c>
      <c r="AV199" s="37"/>
      <c r="AW199" s="38"/>
      <c r="AX199" s="34">
        <v>28</v>
      </c>
      <c r="AY199" s="34"/>
      <c r="AZ199" s="34"/>
      <c r="BA199" s="39">
        <f>AX199</f>
        <v>28</v>
      </c>
      <c r="BB199" s="39"/>
      <c r="BC199" s="39"/>
      <c r="BD199" s="34">
        <f>AX199</f>
        <v>28</v>
      </c>
      <c r="BE199" s="34"/>
      <c r="BF199" s="34"/>
      <c r="BG199" s="34">
        <f>BA199</f>
        <v>28</v>
      </c>
      <c r="BH199" s="34"/>
      <c r="BI199" s="34"/>
      <c r="BJ199" s="35">
        <v>24</v>
      </c>
      <c r="BK199" s="35"/>
      <c r="BL199" s="35"/>
      <c r="BM199" s="35">
        <f>BJ199</f>
        <v>24</v>
      </c>
      <c r="BN199" s="35"/>
      <c r="BO199" s="35"/>
      <c r="BP199" s="35">
        <v>22</v>
      </c>
      <c r="BQ199" s="35"/>
      <c r="BR199" s="35"/>
      <c r="BS199" s="35">
        <f>BP199</f>
        <v>22</v>
      </c>
      <c r="BT199" s="35"/>
      <c r="BU199" s="35"/>
      <c r="BV199" s="35">
        <f>BP199</f>
        <v>22</v>
      </c>
      <c r="BW199" s="35"/>
      <c r="BX199" s="35"/>
      <c r="BY199" s="34">
        <f>BP199</f>
        <v>22</v>
      </c>
      <c r="BZ199" s="34"/>
      <c r="CA199" s="34"/>
      <c r="CB199" s="34">
        <v>22</v>
      </c>
      <c r="CC199" s="34"/>
      <c r="CD199" s="34"/>
      <c r="CE199" s="34">
        <f>CB199</f>
        <v>22</v>
      </c>
      <c r="CF199" s="34"/>
      <c r="CG199" s="34"/>
      <c r="CH199" s="34">
        <f>CB199</f>
        <v>22</v>
      </c>
      <c r="CI199" s="34"/>
      <c r="CJ199" s="34"/>
    </row>
    <row r="200" spans="1:88" ht="18" customHeight="1">
      <c r="A200" s="11"/>
      <c r="B200" s="11"/>
      <c r="C200" s="11"/>
      <c r="D200" s="11"/>
      <c r="E200" s="233"/>
      <c r="F200" s="234" t="s">
        <v>91</v>
      </c>
      <c r="G200" s="234"/>
      <c r="H200" s="233"/>
      <c r="I200" s="11"/>
      <c r="J200" s="51" t="s">
        <v>93</v>
      </c>
      <c r="K200" s="51" t="s">
        <v>38</v>
      </c>
      <c r="L200" s="51"/>
      <c r="M200" s="51"/>
      <c r="N200" s="51"/>
      <c r="O200" s="51"/>
      <c r="P200" s="233"/>
      <c r="Q200" s="234" t="s">
        <v>91</v>
      </c>
      <c r="R200" s="234"/>
      <c r="S200" s="233"/>
      <c r="T200" s="11"/>
      <c r="U200" s="51" t="s">
        <v>79</v>
      </c>
      <c r="V200" s="233"/>
      <c r="W200" s="233"/>
      <c r="X200" s="235">
        <f>(AG122+AM122)*1000</f>
        <v>2400</v>
      </c>
      <c r="Y200" s="234"/>
      <c r="Z200" s="234"/>
      <c r="AA200" s="233"/>
      <c r="AB200" s="233"/>
      <c r="AC200" s="233"/>
      <c r="AD200" s="233"/>
      <c r="AE200" s="51" t="s">
        <v>79</v>
      </c>
      <c r="AF200" s="219">
        <f>X200/(V201*Y201*AC201)</f>
        <v>8.695652173913043</v>
      </c>
      <c r="AG200" s="219"/>
      <c r="AH200" s="219"/>
      <c r="AI200" s="51" t="s">
        <v>71</v>
      </c>
      <c r="AJ200" s="51"/>
      <c r="AK200" s="11"/>
      <c r="AL200" s="11"/>
      <c r="AM200" s="11"/>
      <c r="AN200" s="11"/>
      <c r="AO200" s="11"/>
      <c r="AP200" s="11"/>
      <c r="AQ200" s="11"/>
      <c r="AR200" s="11"/>
      <c r="AS200" s="11"/>
      <c r="AU200" s="36">
        <v>3</v>
      </c>
      <c r="AV200" s="37"/>
      <c r="AW200" s="38"/>
      <c r="AX200" s="40">
        <f>IF(AU198=2,2.6,2.1)</f>
        <v>2.6</v>
      </c>
      <c r="AY200" s="40"/>
      <c r="AZ200" s="40"/>
      <c r="BA200" s="42">
        <f>AX200</f>
        <v>2.6</v>
      </c>
      <c r="BB200" s="42"/>
      <c r="BC200" s="42"/>
      <c r="BD200" s="40">
        <f>AX200</f>
        <v>2.6</v>
      </c>
      <c r="BE200" s="40"/>
      <c r="BF200" s="40"/>
      <c r="BG200" s="40">
        <f>BA200</f>
        <v>2.6</v>
      </c>
      <c r="BH200" s="40"/>
      <c r="BI200" s="40"/>
      <c r="BJ200" s="41">
        <f>IF(AU198=2,3.9,3.5)</f>
        <v>3.9</v>
      </c>
      <c r="BK200" s="41"/>
      <c r="BL200" s="41"/>
      <c r="BM200" s="41">
        <f>BJ200</f>
        <v>3.9</v>
      </c>
      <c r="BN200" s="41"/>
      <c r="BO200" s="41"/>
      <c r="BP200" s="41">
        <f>IF(AU198=2,4.6,IF(AU198=3,4,3.7))</f>
        <v>4.6</v>
      </c>
      <c r="BQ200" s="41"/>
      <c r="BR200" s="41"/>
      <c r="BS200" s="41">
        <f>BP200</f>
        <v>4.6</v>
      </c>
      <c r="BT200" s="41"/>
      <c r="BU200" s="41"/>
      <c r="BV200" s="41">
        <f>BP200</f>
        <v>4.6</v>
      </c>
      <c r="BW200" s="41"/>
      <c r="BX200" s="41"/>
      <c r="BY200" s="40">
        <f>BP200</f>
        <v>4.6</v>
      </c>
      <c r="BZ200" s="40"/>
      <c r="CA200" s="40"/>
      <c r="CB200" s="40">
        <f>IF(AU198=2,6.9,IF(AU198=3,6.2,6))</f>
        <v>6.9</v>
      </c>
      <c r="CC200" s="40"/>
      <c r="CD200" s="40"/>
      <c r="CE200" s="40">
        <f>CB200</f>
        <v>6.9</v>
      </c>
      <c r="CF200" s="40"/>
      <c r="CG200" s="40"/>
      <c r="CH200" s="40">
        <f>CB200</f>
        <v>6.9</v>
      </c>
      <c r="CI200" s="40"/>
      <c r="CJ200" s="40"/>
    </row>
    <row r="201" spans="1:88" ht="18" customHeight="1">
      <c r="A201" s="11"/>
      <c r="B201" s="11"/>
      <c r="C201" s="11"/>
      <c r="D201" s="11"/>
      <c r="E201" s="236">
        <f>HLOOKUP(S196,AX198:CJ201,AU199,FALSE)</f>
        <v>22</v>
      </c>
      <c r="F201" s="237"/>
      <c r="G201" s="11" t="s">
        <v>92</v>
      </c>
      <c r="H201" s="11"/>
      <c r="I201" s="11"/>
      <c r="J201" s="51"/>
      <c r="K201" s="51"/>
      <c r="L201" s="51"/>
      <c r="M201" s="51"/>
      <c r="N201" s="51"/>
      <c r="O201" s="51"/>
      <c r="P201" s="236">
        <f>HLOOKUP(S196,AX198:CJ201,AU201,FALSE)</f>
        <v>46</v>
      </c>
      <c r="Q201" s="237"/>
      <c r="R201" s="11" t="s">
        <v>92</v>
      </c>
      <c r="S201" s="11"/>
      <c r="T201" s="11"/>
      <c r="U201" s="51"/>
      <c r="V201" s="236">
        <f>P201</f>
        <v>46</v>
      </c>
      <c r="W201" s="237"/>
      <c r="X201" s="11" t="s">
        <v>83</v>
      </c>
      <c r="Y201" s="237">
        <f>AF187</f>
        <v>1</v>
      </c>
      <c r="Z201" s="237"/>
      <c r="AA201" s="237"/>
      <c r="AB201" s="11" t="s">
        <v>83</v>
      </c>
      <c r="AC201" s="236">
        <f>C147+1</f>
        <v>6</v>
      </c>
      <c r="AD201" s="237"/>
      <c r="AE201" s="51"/>
      <c r="AF201" s="219"/>
      <c r="AG201" s="219"/>
      <c r="AH201" s="219"/>
      <c r="AI201" s="51"/>
      <c r="AJ201" s="51"/>
      <c r="AK201" s="11"/>
      <c r="AL201" s="11"/>
      <c r="AM201" s="11"/>
      <c r="AN201" s="11"/>
      <c r="AO201" s="11"/>
      <c r="AP201" s="11"/>
      <c r="AQ201" s="11"/>
      <c r="AR201" s="11"/>
      <c r="AS201" s="11"/>
      <c r="AU201" s="36">
        <v>4</v>
      </c>
      <c r="AV201" s="37"/>
      <c r="AW201" s="38"/>
      <c r="AX201" s="34">
        <f>IF(AU198=2,56,58)</f>
        <v>56</v>
      </c>
      <c r="AY201" s="34"/>
      <c r="AZ201" s="34"/>
      <c r="BA201" s="39">
        <f>AX201</f>
        <v>56</v>
      </c>
      <c r="BB201" s="39"/>
      <c r="BC201" s="39"/>
      <c r="BD201" s="34">
        <f>AX201</f>
        <v>56</v>
      </c>
      <c r="BE201" s="34"/>
      <c r="BF201" s="34"/>
      <c r="BG201" s="34">
        <f>BA201</f>
        <v>56</v>
      </c>
      <c r="BH201" s="34"/>
      <c r="BI201" s="34"/>
      <c r="BJ201" s="35">
        <f>IF(AU198=2,48,50)</f>
        <v>48</v>
      </c>
      <c r="BK201" s="35"/>
      <c r="BL201" s="35"/>
      <c r="BM201" s="35">
        <f>BJ201</f>
        <v>48</v>
      </c>
      <c r="BN201" s="35"/>
      <c r="BO201" s="35"/>
      <c r="BP201" s="35">
        <f>IF(AU198=2,46,IF(AU198=3,46,48))</f>
        <v>46</v>
      </c>
      <c r="BQ201" s="35"/>
      <c r="BR201" s="35"/>
      <c r="BS201" s="35">
        <f>BP201</f>
        <v>46</v>
      </c>
      <c r="BT201" s="35"/>
      <c r="BU201" s="35"/>
      <c r="BV201" s="35">
        <f>BP201</f>
        <v>46</v>
      </c>
      <c r="BW201" s="35"/>
      <c r="BX201" s="35"/>
      <c r="BY201" s="34">
        <f>BP201</f>
        <v>46</v>
      </c>
      <c r="BZ201" s="34"/>
      <c r="CA201" s="34"/>
      <c r="CB201" s="34">
        <f>IF(AU198=2,40,IF(AU198=3,42,42))</f>
        <v>40</v>
      </c>
      <c r="CC201" s="34"/>
      <c r="CD201" s="34"/>
      <c r="CE201" s="34">
        <f>CB201</f>
        <v>40</v>
      </c>
      <c r="CF201" s="34"/>
      <c r="CG201" s="34"/>
      <c r="CH201" s="34">
        <f>CB201</f>
        <v>40</v>
      </c>
      <c r="CI201" s="34"/>
      <c r="CJ201" s="34"/>
    </row>
    <row r="202" spans="1:55" ht="18" customHeight="1">
      <c r="A202" s="11"/>
      <c r="B202" s="11"/>
      <c r="C202" s="11"/>
      <c r="D202" s="11"/>
      <c r="E202" s="11"/>
      <c r="F202" s="11"/>
      <c r="G202" s="11" t="s">
        <v>25</v>
      </c>
      <c r="H202" s="11"/>
      <c r="I202" s="11"/>
      <c r="J202" s="11"/>
      <c r="K202" s="11"/>
      <c r="L202" s="11"/>
      <c r="M202" s="11"/>
      <c r="N202" s="11"/>
      <c r="O202" s="220">
        <f>O199</f>
        <v>210</v>
      </c>
      <c r="P202" s="51"/>
      <c r="Q202" s="51"/>
      <c r="R202" s="11" t="s">
        <v>72</v>
      </c>
      <c r="S202" s="220">
        <f>HLOOKUP(S196,AX198:CJ201,AU200,FALSE)</f>
        <v>4.6</v>
      </c>
      <c r="T202" s="51"/>
      <c r="U202" s="11" t="s">
        <v>85</v>
      </c>
      <c r="V202" s="11" t="s">
        <v>94</v>
      </c>
      <c r="W202" s="11"/>
      <c r="X202" s="11"/>
      <c r="Y202" s="11"/>
      <c r="Z202" s="11"/>
      <c r="AA202" s="11"/>
      <c r="AB202" s="238">
        <f>E201</f>
        <v>22</v>
      </c>
      <c r="AC202" s="9"/>
      <c r="AD202" s="11" t="s">
        <v>89</v>
      </c>
      <c r="AE202" s="11" t="s">
        <v>79</v>
      </c>
      <c r="AF202" s="167">
        <f>ROUND(O202-S202*(X200/(AG128*1000*AF187*(C147+1))-AB202),3)</f>
        <v>188.533</v>
      </c>
      <c r="AG202" s="167"/>
      <c r="AH202" s="167"/>
      <c r="AI202" s="167"/>
      <c r="AJ202" s="11" t="s">
        <v>28</v>
      </c>
      <c r="AK202" s="11"/>
      <c r="AL202" s="11"/>
      <c r="AM202" s="11"/>
      <c r="AN202" s="11"/>
      <c r="AO202" s="11"/>
      <c r="AP202" s="11"/>
      <c r="AQ202" s="11"/>
      <c r="AR202" s="11"/>
      <c r="AS202" s="11"/>
      <c r="BA202" s="11"/>
      <c r="BB202" s="11"/>
      <c r="BC202" s="11"/>
    </row>
    <row r="203" spans="1:45" ht="18" customHeight="1">
      <c r="A203" s="11"/>
      <c r="B203" s="11"/>
      <c r="C203" s="11"/>
      <c r="D203" s="11"/>
      <c r="E203" s="233"/>
      <c r="F203" s="234" t="s">
        <v>91</v>
      </c>
      <c r="G203" s="234"/>
      <c r="H203" s="233"/>
      <c r="I203" s="11"/>
      <c r="J203" s="51" t="s">
        <v>93</v>
      </c>
      <c r="K203" s="51" t="s">
        <v>38</v>
      </c>
      <c r="L203" s="51"/>
      <c r="M203" s="51"/>
      <c r="N203" s="51"/>
      <c r="O203" s="51"/>
      <c r="P203" s="233"/>
      <c r="Q203" s="234" t="s">
        <v>91</v>
      </c>
      <c r="R203" s="234"/>
      <c r="S203" s="233"/>
      <c r="T203" s="11"/>
      <c r="U203" s="51" t="s">
        <v>79</v>
      </c>
      <c r="V203" s="233"/>
      <c r="W203" s="233"/>
      <c r="X203" s="235">
        <f>(AG122+AM122)*1000</f>
        <v>2400</v>
      </c>
      <c r="Y203" s="234"/>
      <c r="Z203" s="234"/>
      <c r="AA203" s="233"/>
      <c r="AB203" s="233"/>
      <c r="AC203" s="233"/>
      <c r="AD203" s="233"/>
      <c r="AE203" s="51" t="s">
        <v>79</v>
      </c>
      <c r="AF203" s="219">
        <f>X203/(V204*Y204*AC204)</f>
        <v>5</v>
      </c>
      <c r="AG203" s="219"/>
      <c r="AH203" s="219"/>
      <c r="AI203" s="51" t="s">
        <v>71</v>
      </c>
      <c r="AJ203" s="51"/>
      <c r="AK203" s="11"/>
      <c r="AL203" s="11"/>
      <c r="AM203" s="11"/>
      <c r="AN203" s="11"/>
      <c r="AO203" s="11"/>
      <c r="AP203" s="11"/>
      <c r="AQ203" s="11"/>
      <c r="AR203" s="11"/>
      <c r="AS203" s="11"/>
    </row>
    <row r="204" spans="1:45" ht="18" customHeight="1">
      <c r="A204" s="11"/>
      <c r="B204" s="11"/>
      <c r="C204" s="11"/>
      <c r="D204" s="11"/>
      <c r="E204" s="236">
        <f>P201</f>
        <v>46</v>
      </c>
      <c r="F204" s="237"/>
      <c r="G204" s="11" t="s">
        <v>92</v>
      </c>
      <c r="H204" s="11"/>
      <c r="I204" s="11"/>
      <c r="J204" s="51"/>
      <c r="K204" s="51"/>
      <c r="L204" s="51"/>
      <c r="M204" s="51"/>
      <c r="N204" s="51"/>
      <c r="O204" s="51"/>
      <c r="P204" s="236">
        <v>80</v>
      </c>
      <c r="Q204" s="237"/>
      <c r="R204" s="11" t="s">
        <v>92</v>
      </c>
      <c r="S204" s="11"/>
      <c r="T204" s="11"/>
      <c r="U204" s="51"/>
      <c r="V204" s="236">
        <f>P204</f>
        <v>80</v>
      </c>
      <c r="W204" s="237"/>
      <c r="X204" s="11" t="s">
        <v>83</v>
      </c>
      <c r="Y204" s="237">
        <f>AF187</f>
        <v>1</v>
      </c>
      <c r="Z204" s="237"/>
      <c r="AA204" s="237"/>
      <c r="AB204" s="11" t="s">
        <v>83</v>
      </c>
      <c r="AC204" s="236">
        <f>C147+1</f>
        <v>6</v>
      </c>
      <c r="AD204" s="237"/>
      <c r="AE204" s="51"/>
      <c r="AF204" s="219"/>
      <c r="AG204" s="219"/>
      <c r="AH204" s="219"/>
      <c r="AI204" s="51"/>
      <c r="AJ204" s="51"/>
      <c r="AK204" s="11"/>
      <c r="AL204" s="11"/>
      <c r="AM204" s="11"/>
      <c r="AN204" s="11"/>
      <c r="AO204" s="11"/>
      <c r="AP204" s="11"/>
      <c r="AQ204" s="11"/>
      <c r="AR204" s="11"/>
      <c r="AS204" s="11"/>
    </row>
    <row r="205" spans="1:45" ht="18" customHeight="1">
      <c r="A205" s="11"/>
      <c r="B205" s="11"/>
      <c r="C205" s="11"/>
      <c r="D205" s="11"/>
      <c r="E205" s="11"/>
      <c r="F205" s="11"/>
      <c r="G205" s="11" t="s">
        <v>25</v>
      </c>
      <c r="H205" s="11"/>
      <c r="I205" s="11"/>
      <c r="J205" s="11"/>
      <c r="K205" s="11"/>
      <c r="L205" s="11"/>
      <c r="M205" s="11"/>
      <c r="N205" s="220">
        <f>210000</f>
        <v>210000</v>
      </c>
      <c r="O205" s="220"/>
      <c r="P205" s="220"/>
      <c r="Q205" s="220"/>
      <c r="R205" s="11" t="s">
        <v>83</v>
      </c>
      <c r="S205" s="11" t="s">
        <v>95</v>
      </c>
      <c r="T205" s="11"/>
      <c r="U205" s="11"/>
      <c r="V205" s="11"/>
      <c r="W205" s="11"/>
      <c r="X205" s="11"/>
      <c r="Y205" s="11"/>
      <c r="Z205" s="11" t="s">
        <v>79</v>
      </c>
      <c r="AA205" s="51">
        <f>N205*(AG128*1000*Y204*AC204/X203)^2</f>
        <v>295.3125</v>
      </c>
      <c r="AB205" s="51"/>
      <c r="AC205" s="51"/>
      <c r="AD205" s="51"/>
      <c r="AE205" s="11"/>
      <c r="AF205" s="11" t="s">
        <v>28</v>
      </c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</row>
    <row r="206" spans="1:45" ht="18" customHeight="1">
      <c r="A206" s="11"/>
      <c r="B206" s="11"/>
      <c r="C206" s="11"/>
      <c r="D206" s="11"/>
      <c r="E206" s="11" t="s">
        <v>26</v>
      </c>
      <c r="F206" s="11"/>
      <c r="G206" s="11"/>
      <c r="H206" s="11"/>
      <c r="I206" s="11"/>
      <c r="J206" s="219">
        <f>AG128*1000</f>
        <v>15</v>
      </c>
      <c r="K206" s="219"/>
      <c r="L206" s="219"/>
      <c r="M206" s="10" t="s">
        <v>145</v>
      </c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</row>
    <row r="207" spans="1:45" ht="18" customHeight="1">
      <c r="A207" s="11"/>
      <c r="B207" s="11"/>
      <c r="C207" s="11"/>
      <c r="D207" s="11"/>
      <c r="E207" s="11" t="s">
        <v>27</v>
      </c>
      <c r="F207" s="11"/>
      <c r="G207" s="11"/>
      <c r="H207" s="11"/>
      <c r="I207" s="11"/>
      <c r="J207" s="11"/>
      <c r="K207" s="11"/>
      <c r="L207" s="51">
        <f>IF(J206&gt;=AC197,O199,IF(J206&gt;=AF200,AF202,IF(J206&gt;=AF203,AA205,"확인 요망")))</f>
        <v>188.533</v>
      </c>
      <c r="M207" s="51"/>
      <c r="N207" s="51"/>
      <c r="O207" s="51"/>
      <c r="P207" s="11" t="s">
        <v>28</v>
      </c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</row>
    <row r="208" spans="1:45" ht="18" customHeight="1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</row>
    <row r="209" spans="1:45" ht="18" customHeight="1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</row>
    <row r="210" spans="1:46" ht="18" customHeight="1">
      <c r="A210" s="11"/>
      <c r="B210" s="11"/>
      <c r="C210" s="239" t="s">
        <v>42</v>
      </c>
      <c r="D210" s="240"/>
      <c r="E210" s="240"/>
      <c r="F210" s="240"/>
      <c r="G210" s="240"/>
      <c r="H210" s="239" t="s">
        <v>43</v>
      </c>
      <c r="I210" s="240"/>
      <c r="J210" s="240"/>
      <c r="K210" s="240"/>
      <c r="L210" s="240"/>
      <c r="M210" s="240"/>
      <c r="N210" s="240"/>
      <c r="O210" s="240"/>
      <c r="P210" s="240"/>
      <c r="Q210" s="240"/>
      <c r="R210" s="240"/>
      <c r="S210" s="240"/>
      <c r="T210" s="240"/>
      <c r="U210" s="240"/>
      <c r="V210" s="240"/>
      <c r="W210" s="240"/>
      <c r="X210" s="240"/>
      <c r="Y210" s="240"/>
      <c r="Z210" s="240"/>
      <c r="AA210" s="240"/>
      <c r="AB210" s="240" t="s">
        <v>96</v>
      </c>
      <c r="AC210" s="240"/>
      <c r="AD210" s="240"/>
      <c r="AE210" s="240"/>
      <c r="AF210" s="240"/>
      <c r="AG210" s="240"/>
      <c r="AH210" s="240"/>
      <c r="AI210" s="240"/>
      <c r="AJ210" s="241" t="s">
        <v>44</v>
      </c>
      <c r="AK210" s="242"/>
      <c r="AL210" s="242"/>
      <c r="AM210" s="242"/>
      <c r="AN210" s="242"/>
      <c r="AO210" s="242"/>
      <c r="AP210" s="242"/>
      <c r="AQ210" s="242"/>
      <c r="AR210" s="243"/>
      <c r="AS210" s="243"/>
      <c r="AT210" s="232"/>
    </row>
    <row r="211" spans="1:46" ht="18" customHeight="1">
      <c r="A211" s="11"/>
      <c r="B211" s="11"/>
      <c r="C211" s="240"/>
      <c r="D211" s="240"/>
      <c r="E211" s="240"/>
      <c r="F211" s="240"/>
      <c r="G211" s="240"/>
      <c r="H211" s="239" t="s">
        <v>40</v>
      </c>
      <c r="I211" s="240"/>
      <c r="J211" s="240"/>
      <c r="K211" s="240"/>
      <c r="L211" s="240"/>
      <c r="M211" s="240"/>
      <c r="N211" s="240"/>
      <c r="O211" s="240"/>
      <c r="P211" s="240"/>
      <c r="Q211" s="240"/>
      <c r="R211" s="239" t="s">
        <v>41</v>
      </c>
      <c r="S211" s="240"/>
      <c r="T211" s="240"/>
      <c r="U211" s="240"/>
      <c r="V211" s="240"/>
      <c r="W211" s="240"/>
      <c r="X211" s="240"/>
      <c r="Y211" s="240"/>
      <c r="Z211" s="240"/>
      <c r="AA211" s="240"/>
      <c r="AB211" s="240"/>
      <c r="AC211" s="240"/>
      <c r="AD211" s="240"/>
      <c r="AE211" s="240"/>
      <c r="AF211" s="240"/>
      <c r="AG211" s="240"/>
      <c r="AH211" s="240"/>
      <c r="AI211" s="240"/>
      <c r="AJ211" s="241" t="s">
        <v>45</v>
      </c>
      <c r="AK211" s="242"/>
      <c r="AL211" s="242"/>
      <c r="AM211" s="242"/>
      <c r="AN211" s="242"/>
      <c r="AO211" s="242"/>
      <c r="AP211" s="242"/>
      <c r="AQ211" s="242"/>
      <c r="AR211" s="243"/>
      <c r="AS211" s="243"/>
      <c r="AT211" s="232"/>
    </row>
    <row r="212" spans="1:46" ht="18" customHeight="1">
      <c r="A212" s="11"/>
      <c r="B212" s="11"/>
      <c r="C212" s="240"/>
      <c r="D212" s="240"/>
      <c r="E212" s="240"/>
      <c r="F212" s="240"/>
      <c r="G212" s="240"/>
      <c r="H212" s="244" t="s">
        <v>46</v>
      </c>
      <c r="I212" s="182"/>
      <c r="J212" s="182"/>
      <c r="K212" s="182"/>
      <c r="L212" s="184"/>
      <c r="M212" s="244" t="s">
        <v>47</v>
      </c>
      <c r="N212" s="182"/>
      <c r="O212" s="182"/>
      <c r="P212" s="182"/>
      <c r="Q212" s="184"/>
      <c r="R212" s="244" t="s">
        <v>46</v>
      </c>
      <c r="S212" s="182"/>
      <c r="T212" s="182"/>
      <c r="U212" s="182"/>
      <c r="V212" s="184"/>
      <c r="W212" s="244" t="s">
        <v>47</v>
      </c>
      <c r="X212" s="182"/>
      <c r="Y212" s="182"/>
      <c r="Z212" s="182"/>
      <c r="AA212" s="184"/>
      <c r="AB212" s="239" t="s">
        <v>46</v>
      </c>
      <c r="AC212" s="240"/>
      <c r="AD212" s="240"/>
      <c r="AE212" s="240"/>
      <c r="AF212" s="239" t="s">
        <v>47</v>
      </c>
      <c r="AG212" s="240"/>
      <c r="AH212" s="240"/>
      <c r="AI212" s="240"/>
      <c r="AJ212" s="241" t="s">
        <v>46</v>
      </c>
      <c r="AK212" s="242"/>
      <c r="AL212" s="242"/>
      <c r="AM212" s="242"/>
      <c r="AN212" s="241" t="s">
        <v>47</v>
      </c>
      <c r="AO212" s="242"/>
      <c r="AP212" s="242"/>
      <c r="AQ212" s="242"/>
      <c r="AR212" s="243"/>
      <c r="AS212" s="243"/>
      <c r="AT212" s="232"/>
    </row>
    <row r="213" spans="1:46" ht="18" customHeight="1">
      <c r="A213" s="11"/>
      <c r="B213" s="11"/>
      <c r="C213" s="245">
        <v>1</v>
      </c>
      <c r="D213" s="245"/>
      <c r="E213" s="245"/>
      <c r="F213" s="245"/>
      <c r="G213" s="245"/>
      <c r="H213" s="240">
        <f>M173</f>
        <v>-28.277033162811797</v>
      </c>
      <c r="I213" s="240"/>
      <c r="J213" s="240"/>
      <c r="K213" s="240"/>
      <c r="L213" s="240"/>
      <c r="M213" s="240">
        <f>M174</f>
        <v>32.73740191049118</v>
      </c>
      <c r="N213" s="240"/>
      <c r="O213" s="240"/>
      <c r="P213" s="240"/>
      <c r="Q213" s="240"/>
      <c r="R213" s="240">
        <f>IF(H213&gt;=0,H195,L207)</f>
        <v>188.533</v>
      </c>
      <c r="S213" s="240"/>
      <c r="T213" s="240"/>
      <c r="U213" s="240"/>
      <c r="V213" s="240"/>
      <c r="W213" s="240">
        <f>IF(M213&gt;=0,H195,L207)</f>
        <v>210</v>
      </c>
      <c r="X213" s="240"/>
      <c r="Y213" s="240"/>
      <c r="Z213" s="240"/>
      <c r="AA213" s="240"/>
      <c r="AB213" s="240">
        <f>(H213/R213)^2</f>
        <v>0.02249535887070484</v>
      </c>
      <c r="AC213" s="240"/>
      <c r="AD213" s="240"/>
      <c r="AE213" s="240"/>
      <c r="AF213" s="240">
        <f>(M213/W213)^2</f>
        <v>0.024302437275488243</v>
      </c>
      <c r="AG213" s="240"/>
      <c r="AH213" s="240"/>
      <c r="AI213" s="240"/>
      <c r="AJ213" s="242">
        <f>(H213/R213)^2+(S175/AJ183)^2</f>
        <v>0.02666464092358517</v>
      </c>
      <c r="AK213" s="242"/>
      <c r="AL213" s="242"/>
      <c r="AM213" s="242"/>
      <c r="AN213" s="242">
        <f>(M213/W213)^2+(S175/AJ183)^2</f>
        <v>0.028471719328368575</v>
      </c>
      <c r="AO213" s="242"/>
      <c r="AP213" s="242"/>
      <c r="AQ213" s="242"/>
      <c r="AR213" s="243"/>
      <c r="AS213" s="243"/>
      <c r="AT213" s="232"/>
    </row>
    <row r="214" spans="1:46" ht="18" customHeight="1">
      <c r="A214" s="11"/>
      <c r="B214" s="11"/>
      <c r="C214" s="245" t="s">
        <v>61</v>
      </c>
      <c r="D214" s="245"/>
      <c r="E214" s="245"/>
      <c r="F214" s="245"/>
      <c r="G214" s="245"/>
      <c r="H214" s="240">
        <f>M173+N178</f>
        <v>-52.145414837844655</v>
      </c>
      <c r="I214" s="240"/>
      <c r="J214" s="240"/>
      <c r="K214" s="240"/>
      <c r="L214" s="240"/>
      <c r="M214" s="240">
        <f>M174+N179</f>
        <v>60.37073951523634</v>
      </c>
      <c r="N214" s="240"/>
      <c r="O214" s="240"/>
      <c r="P214" s="240"/>
      <c r="Q214" s="240"/>
      <c r="R214" s="240">
        <f>R213</f>
        <v>188.533</v>
      </c>
      <c r="S214" s="240"/>
      <c r="T214" s="240"/>
      <c r="U214" s="240"/>
      <c r="V214" s="240"/>
      <c r="W214" s="240">
        <f>W213</f>
        <v>210</v>
      </c>
      <c r="X214" s="240"/>
      <c r="Y214" s="240"/>
      <c r="Z214" s="240"/>
      <c r="AA214" s="240"/>
      <c r="AB214" s="240">
        <f>(H214/R214)^2</f>
        <v>0.07649930633250308</v>
      </c>
      <c r="AC214" s="240"/>
      <c r="AD214" s="240"/>
      <c r="AE214" s="240"/>
      <c r="AF214" s="240">
        <f>(M214/W214)^2</f>
        <v>0.08264458479856049</v>
      </c>
      <c r="AG214" s="240"/>
      <c r="AH214" s="240"/>
      <c r="AI214" s="240"/>
      <c r="AJ214" s="242">
        <f>(H214/R214)^2+(Z183/AJ183)^2</f>
        <v>0.09392590219433858</v>
      </c>
      <c r="AK214" s="242"/>
      <c r="AL214" s="242"/>
      <c r="AM214" s="242"/>
      <c r="AN214" s="242">
        <f>(M214/W214)^2+(Z183/AJ183)^2</f>
        <v>0.10007118066039597</v>
      </c>
      <c r="AO214" s="242"/>
      <c r="AP214" s="242"/>
      <c r="AQ214" s="242"/>
      <c r="AR214" s="243"/>
      <c r="AS214" s="243"/>
      <c r="AT214" s="232"/>
    </row>
    <row r="215" spans="1:45" ht="18" customHeight="1">
      <c r="A215" s="11"/>
      <c r="B215" s="11"/>
      <c r="C215" s="11" t="s">
        <v>48</v>
      </c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227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</row>
    <row r="216" spans="1:45" ht="18" customHeight="1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</row>
    <row r="217" spans="1:45" ht="18" customHeight="1">
      <c r="A217" s="11"/>
      <c r="B217" s="11" t="s">
        <v>62</v>
      </c>
      <c r="C217" s="11"/>
      <c r="D217" s="11"/>
      <c r="E217" s="11"/>
      <c r="F217" s="11"/>
      <c r="G217" s="11"/>
      <c r="H217" s="11"/>
      <c r="I217" s="11"/>
      <c r="J217" s="11"/>
      <c r="K217" s="227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</row>
    <row r="218" spans="1:45" ht="18" customHeight="1">
      <c r="A218" s="11"/>
      <c r="B218" s="11"/>
      <c r="C218" s="11"/>
      <c r="D218" s="11"/>
      <c r="E218" s="11" t="s">
        <v>49</v>
      </c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</row>
    <row r="219" spans="1:45" ht="18" customHeight="1">
      <c r="A219" s="11"/>
      <c r="B219" s="11"/>
      <c r="C219" s="11"/>
      <c r="D219" s="11"/>
      <c r="E219" s="11"/>
      <c r="F219" s="260" t="s">
        <v>85</v>
      </c>
      <c r="G219" s="234" t="s">
        <v>97</v>
      </c>
      <c r="H219" s="234"/>
      <c r="I219" s="261">
        <v>0</v>
      </c>
      <c r="J219" s="51"/>
      <c r="K219" s="51"/>
      <c r="L219" s="51"/>
      <c r="M219" s="234" t="s">
        <v>98</v>
      </c>
      <c r="N219" s="234"/>
      <c r="O219" s="262">
        <v>0</v>
      </c>
      <c r="P219" s="51"/>
      <c r="Q219" s="51" t="s">
        <v>79</v>
      </c>
      <c r="R219" s="263" t="s">
        <v>85</v>
      </c>
      <c r="S219" s="234">
        <f>IF(AB213=R221,H213,IF(AB214=R221,H214,"ERROR"))</f>
        <v>-52.145414837844655</v>
      </c>
      <c r="T219" s="234"/>
      <c r="U219" s="234"/>
      <c r="V219" s="234"/>
      <c r="W219" s="234"/>
      <c r="X219" s="264">
        <v>0</v>
      </c>
      <c r="Y219" s="51"/>
      <c r="Z219" s="51" t="s">
        <v>78</v>
      </c>
      <c r="AA219" s="265" t="s">
        <v>85</v>
      </c>
      <c r="AB219" s="234">
        <f>Z183</f>
        <v>15.841179893253882</v>
      </c>
      <c r="AC219" s="234"/>
      <c r="AD219" s="234"/>
      <c r="AE219" s="234"/>
      <c r="AF219" s="234"/>
      <c r="AG219" s="266">
        <v>0</v>
      </c>
      <c r="AH219" s="5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</row>
    <row r="220" spans="1:45" ht="18" customHeight="1">
      <c r="A220" s="11"/>
      <c r="B220" s="11"/>
      <c r="C220" s="11"/>
      <c r="D220" s="11"/>
      <c r="E220" s="11"/>
      <c r="F220" s="51"/>
      <c r="G220" s="237" t="s">
        <v>99</v>
      </c>
      <c r="H220" s="237"/>
      <c r="I220" s="51"/>
      <c r="J220" s="51"/>
      <c r="K220" s="51"/>
      <c r="L220" s="51"/>
      <c r="M220" s="237" t="s">
        <v>100</v>
      </c>
      <c r="N220" s="237"/>
      <c r="O220" s="51"/>
      <c r="P220" s="51"/>
      <c r="Q220" s="51"/>
      <c r="R220" s="51"/>
      <c r="S220" s="237">
        <f>IF(AB213=R221,R213,IF(AB214=R221,R214,"ERROR"))</f>
        <v>188.533</v>
      </c>
      <c r="T220" s="237"/>
      <c r="U220" s="237"/>
      <c r="V220" s="237"/>
      <c r="W220" s="237"/>
      <c r="X220" s="51"/>
      <c r="Y220" s="51"/>
      <c r="Z220" s="51"/>
      <c r="AA220" s="51"/>
      <c r="AB220" s="237">
        <f>AJ183</f>
        <v>120</v>
      </c>
      <c r="AC220" s="237"/>
      <c r="AD220" s="237"/>
      <c r="AE220" s="237"/>
      <c r="AF220" s="237"/>
      <c r="AG220" s="51"/>
      <c r="AH220" s="5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</row>
    <row r="221" spans="1:45" ht="18" customHeight="1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 t="s">
        <v>79</v>
      </c>
      <c r="R221" s="51">
        <f>MAX(AB213:AB214)</f>
        <v>0.07649930633250308</v>
      </c>
      <c r="S221" s="51"/>
      <c r="T221" s="51"/>
      <c r="U221" s="51"/>
      <c r="V221" s="11" t="s">
        <v>78</v>
      </c>
      <c r="W221" s="51">
        <f>(Z183/AJ183)^2</f>
        <v>0.017426595861835488</v>
      </c>
      <c r="X221" s="51"/>
      <c r="Y221" s="51"/>
      <c r="Z221" s="51"/>
      <c r="AA221" s="11" t="s">
        <v>79</v>
      </c>
      <c r="AB221" s="51">
        <f>R221+W221</f>
        <v>0.09392590219433858</v>
      </c>
      <c r="AC221" s="51"/>
      <c r="AD221" s="51"/>
      <c r="AE221" s="51"/>
      <c r="AF221" s="11"/>
      <c r="AG221" s="11" t="str">
        <f>IF(AB221&gt;AI221,"＞","＜")</f>
        <v>＜</v>
      </c>
      <c r="AH221" s="11"/>
      <c r="AI221" s="219">
        <v>1.2</v>
      </c>
      <c r="AJ221" s="51"/>
      <c r="AK221" s="51"/>
      <c r="AL221" s="11"/>
      <c r="AM221" s="11" t="str">
        <f>IF(AB221&lt;AI221,"O.K.","N.G.")</f>
        <v>O.K.</v>
      </c>
      <c r="AN221" s="11"/>
      <c r="AO221" s="11"/>
      <c r="AP221" s="11"/>
      <c r="AQ221" s="11"/>
      <c r="AR221" s="11"/>
      <c r="AS221" s="11"/>
    </row>
    <row r="222" spans="1:45" ht="18" customHeight="1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</row>
    <row r="223" spans="1:45" ht="18" customHeight="1">
      <c r="A223" s="11"/>
      <c r="B223" s="11"/>
      <c r="C223" s="11"/>
      <c r="D223" s="11"/>
      <c r="E223" s="11" t="s">
        <v>50</v>
      </c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</row>
    <row r="224" spans="1:45" ht="18" customHeight="1">
      <c r="A224" s="11"/>
      <c r="B224" s="11"/>
      <c r="C224" s="11"/>
      <c r="D224" s="11"/>
      <c r="E224" s="11"/>
      <c r="F224" s="267" t="s">
        <v>85</v>
      </c>
      <c r="G224" s="234" t="s">
        <v>97</v>
      </c>
      <c r="H224" s="234"/>
      <c r="I224" s="268">
        <v>0</v>
      </c>
      <c r="J224" s="51"/>
      <c r="K224" s="51"/>
      <c r="L224" s="51"/>
      <c r="M224" s="234" t="s">
        <v>98</v>
      </c>
      <c r="N224" s="234"/>
      <c r="O224" s="269">
        <v>0</v>
      </c>
      <c r="P224" s="51"/>
      <c r="Q224" s="51" t="s">
        <v>79</v>
      </c>
      <c r="R224" s="270" t="s">
        <v>85</v>
      </c>
      <c r="S224" s="234">
        <f>IF(AF213=R226,M213,IF(AF214=R226,M214,"ERROR"))</f>
        <v>60.37073951523634</v>
      </c>
      <c r="T224" s="234"/>
      <c r="U224" s="234"/>
      <c r="V224" s="234"/>
      <c r="W224" s="234"/>
      <c r="X224" s="271">
        <v>0</v>
      </c>
      <c r="Y224" s="51"/>
      <c r="Z224" s="51" t="s">
        <v>78</v>
      </c>
      <c r="AA224" s="272" t="s">
        <v>85</v>
      </c>
      <c r="AB224" s="234">
        <f>Z183</f>
        <v>15.841179893253882</v>
      </c>
      <c r="AC224" s="234"/>
      <c r="AD224" s="234"/>
      <c r="AE224" s="234"/>
      <c r="AF224" s="234"/>
      <c r="AG224" s="273">
        <v>0</v>
      </c>
      <c r="AH224" s="5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</row>
    <row r="225" spans="1:45" ht="18" customHeight="1">
      <c r="A225" s="11"/>
      <c r="B225" s="11"/>
      <c r="C225" s="11"/>
      <c r="D225" s="11"/>
      <c r="E225" s="11"/>
      <c r="F225" s="51"/>
      <c r="G225" s="237" t="s">
        <v>99</v>
      </c>
      <c r="H225" s="237"/>
      <c r="I225" s="51"/>
      <c r="J225" s="51"/>
      <c r="K225" s="51"/>
      <c r="L225" s="51"/>
      <c r="M225" s="237" t="s">
        <v>100</v>
      </c>
      <c r="N225" s="237"/>
      <c r="O225" s="51"/>
      <c r="P225" s="51"/>
      <c r="Q225" s="51"/>
      <c r="R225" s="51"/>
      <c r="S225" s="237">
        <f>IF(AF213=R226,W213,IF(AF214=R226,W214,"ERROR"))</f>
        <v>210</v>
      </c>
      <c r="T225" s="237"/>
      <c r="U225" s="237"/>
      <c r="V225" s="237"/>
      <c r="W225" s="237"/>
      <c r="X225" s="51"/>
      <c r="Y225" s="51"/>
      <c r="Z225" s="51"/>
      <c r="AA225" s="51"/>
      <c r="AB225" s="237">
        <f>AJ183</f>
        <v>120</v>
      </c>
      <c r="AC225" s="237"/>
      <c r="AD225" s="237"/>
      <c r="AE225" s="237"/>
      <c r="AF225" s="237"/>
      <c r="AG225" s="51"/>
      <c r="AH225" s="5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</row>
    <row r="226" spans="1:45" ht="18" customHeight="1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 t="s">
        <v>79</v>
      </c>
      <c r="R226" s="51">
        <f>MAX(AF213:AF214)</f>
        <v>0.08264458479856049</v>
      </c>
      <c r="S226" s="51"/>
      <c r="T226" s="51"/>
      <c r="U226" s="51"/>
      <c r="V226" s="11" t="s">
        <v>78</v>
      </c>
      <c r="W226" s="51">
        <f>(Z183/AJ183)^2</f>
        <v>0.017426595861835488</v>
      </c>
      <c r="X226" s="51"/>
      <c r="Y226" s="51"/>
      <c r="Z226" s="51"/>
      <c r="AA226" s="11" t="s">
        <v>79</v>
      </c>
      <c r="AB226" s="51">
        <f>R226+W226</f>
        <v>0.10007118066039597</v>
      </c>
      <c r="AC226" s="51"/>
      <c r="AD226" s="51"/>
      <c r="AE226" s="51"/>
      <c r="AF226" s="11"/>
      <c r="AG226" s="11" t="str">
        <f>IF(AB226&gt;AI226,"＞","＜")</f>
        <v>＜</v>
      </c>
      <c r="AH226" s="11"/>
      <c r="AI226" s="219">
        <v>1.2</v>
      </c>
      <c r="AJ226" s="51"/>
      <c r="AK226" s="51"/>
      <c r="AL226" s="11"/>
      <c r="AM226" s="11" t="str">
        <f>IF(AB226&lt;AI226,"O.K.","N.G.")</f>
        <v>O.K.</v>
      </c>
      <c r="AN226" s="11"/>
      <c r="AO226" s="11"/>
      <c r="AP226" s="11"/>
      <c r="AQ226" s="11"/>
      <c r="AR226" s="11"/>
      <c r="AS226" s="11"/>
    </row>
    <row r="228" spans="21:31" ht="18" customHeight="1"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</row>
    <row r="235" spans="2:25" s="53" customFormat="1" ht="18" customHeight="1">
      <c r="B235" s="54" t="s">
        <v>278</v>
      </c>
      <c r="E235" s="55">
        <v>3</v>
      </c>
      <c r="F235" s="55"/>
      <c r="G235" s="53" t="s">
        <v>63</v>
      </c>
      <c r="K235" s="53" t="s">
        <v>109</v>
      </c>
      <c r="M235" s="55">
        <v>21</v>
      </c>
      <c r="N235" s="55"/>
      <c r="O235" s="53" t="s">
        <v>64</v>
      </c>
      <c r="V235" s="56">
        <v>4.45</v>
      </c>
      <c r="W235" s="56"/>
      <c r="X235" s="56"/>
      <c r="Y235" s="53" t="s">
        <v>65</v>
      </c>
    </row>
    <row r="236" spans="1:70" ht="18" customHeight="1">
      <c r="A236" s="163" t="s">
        <v>110</v>
      </c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 t="s">
        <v>111</v>
      </c>
      <c r="AA236" s="11"/>
      <c r="AB236" s="11"/>
      <c r="AC236" s="11"/>
      <c r="AD236" s="11"/>
      <c r="AE236" s="11"/>
      <c r="AF236" s="11"/>
      <c r="AG236" s="58" t="s">
        <v>11</v>
      </c>
      <c r="AH236" s="59"/>
      <c r="AI236" s="59"/>
      <c r="AJ236" s="59"/>
      <c r="AK236" s="60" t="s">
        <v>171</v>
      </c>
      <c r="AL236" s="11"/>
      <c r="AM236" s="11"/>
      <c r="AN236" s="11"/>
      <c r="AO236" s="11"/>
      <c r="AP236" s="11"/>
      <c r="AQ236" s="11"/>
      <c r="AT236" s="11"/>
      <c r="AU236" s="11"/>
      <c r="AV236" s="11"/>
      <c r="AW236" s="11"/>
      <c r="AX236" s="164"/>
      <c r="AY236" s="164"/>
      <c r="AZ236" s="165"/>
      <c r="BA236" s="165"/>
      <c r="BB236" s="165"/>
      <c r="BC236" s="165"/>
      <c r="BD236" s="165"/>
      <c r="BM236" s="165"/>
      <c r="BN236" s="165"/>
      <c r="BO236" s="165"/>
      <c r="BP236" s="165"/>
      <c r="BQ236" s="165"/>
      <c r="BR236" s="165"/>
    </row>
    <row r="237" spans="1:70" ht="18" customHeight="1">
      <c r="A237" s="11"/>
      <c r="B237" s="11"/>
      <c r="C237" s="11"/>
      <c r="D237" s="11"/>
      <c r="E237" s="164"/>
      <c r="F237" s="164"/>
      <c r="G237" s="164"/>
      <c r="H237" s="164"/>
      <c r="I237" s="164"/>
      <c r="J237" s="164"/>
      <c r="K237" s="164"/>
      <c r="M237" s="165"/>
      <c r="N237" s="165"/>
      <c r="O237" s="165"/>
      <c r="P237" s="165"/>
      <c r="Q237" s="165"/>
      <c r="R237" s="165"/>
      <c r="S237" s="165"/>
      <c r="T237" s="164"/>
      <c r="U237" s="164"/>
      <c r="V237" s="164"/>
      <c r="W237" s="164"/>
      <c r="X237" s="164"/>
      <c r="Y237" s="164"/>
      <c r="Z237" s="11"/>
      <c r="AA237" s="11"/>
      <c r="AB237" s="11"/>
      <c r="AC237" s="11"/>
      <c r="AD237" s="11"/>
      <c r="AT237" s="11"/>
      <c r="AU237" s="11"/>
      <c r="AV237" s="11"/>
      <c r="AW237" s="11"/>
      <c r="AX237" s="164"/>
      <c r="AY237" s="164"/>
      <c r="AZ237" s="165"/>
      <c r="BA237" s="165"/>
      <c r="BB237" s="165"/>
      <c r="BC237" s="165"/>
      <c r="BD237" s="165"/>
      <c r="BM237" s="165"/>
      <c r="BN237" s="165"/>
      <c r="BO237" s="165"/>
      <c r="BP237" s="165"/>
      <c r="BQ237" s="165"/>
      <c r="BR237" s="165"/>
    </row>
    <row r="238" spans="1:51" ht="18" customHeight="1">
      <c r="A238" s="11"/>
      <c r="B238" s="11"/>
      <c r="C238" s="11"/>
      <c r="D238" s="11"/>
      <c r="E238" s="164"/>
      <c r="F238" s="164"/>
      <c r="G238" s="164"/>
      <c r="L238" s="165"/>
      <c r="M238" s="165"/>
      <c r="N238" s="165"/>
      <c r="O238" s="165"/>
      <c r="P238" s="165"/>
      <c r="Q238" s="165"/>
      <c r="R238" s="165"/>
      <c r="S238" s="165"/>
      <c r="W238" s="165"/>
      <c r="X238" s="164"/>
      <c r="Y238" s="164"/>
      <c r="Z238" s="11"/>
      <c r="AA238" s="11"/>
      <c r="AB238" s="11"/>
      <c r="AC238" s="11"/>
      <c r="AD238" s="11"/>
      <c r="AE238" s="163" t="s">
        <v>66</v>
      </c>
      <c r="AF238" s="11"/>
      <c r="AG238" s="58">
        <v>2.6</v>
      </c>
      <c r="AH238" s="58"/>
      <c r="AI238" s="58"/>
      <c r="AJ238" s="11" t="s">
        <v>65</v>
      </c>
      <c r="AK238" s="11"/>
      <c r="AL238" s="11"/>
      <c r="AM238" s="11"/>
      <c r="AN238" s="11"/>
      <c r="AO238" s="11"/>
      <c r="AP238" s="11"/>
      <c r="AQ238" s="11"/>
      <c r="AT238" s="11"/>
      <c r="AU238" s="11"/>
      <c r="AV238" s="11"/>
      <c r="AW238" s="11"/>
      <c r="AX238" s="164"/>
      <c r="AY238" s="11"/>
    </row>
    <row r="239" spans="1:51" ht="18" customHeight="1">
      <c r="A239" s="11"/>
      <c r="B239" s="11"/>
      <c r="C239" s="11"/>
      <c r="D239" s="11"/>
      <c r="E239" s="11"/>
      <c r="F239" s="11"/>
      <c r="G239" s="11"/>
      <c r="H239" s="165"/>
      <c r="I239" s="165"/>
      <c r="J239" s="165"/>
      <c r="K239" s="165"/>
      <c r="L239" s="165"/>
      <c r="M239" s="165"/>
      <c r="N239" s="165"/>
      <c r="O239" s="165"/>
      <c r="P239" s="165"/>
      <c r="Q239" s="165"/>
      <c r="R239" s="165"/>
      <c r="S239" s="165"/>
      <c r="T239" s="165"/>
      <c r="U239" s="165"/>
      <c r="V239" s="165"/>
      <c r="W239" s="11"/>
      <c r="X239" s="11"/>
      <c r="Y239" s="11"/>
      <c r="Z239" s="11"/>
      <c r="AA239" s="11"/>
      <c r="AB239" s="11"/>
      <c r="AC239" s="11"/>
      <c r="AD239" s="11"/>
      <c r="AE239" s="11" t="s">
        <v>112</v>
      </c>
      <c r="AF239" s="11"/>
      <c r="AG239" s="58">
        <v>1.2</v>
      </c>
      <c r="AH239" s="58"/>
      <c r="AI239" s="58"/>
      <c r="AJ239" s="11" t="s">
        <v>113</v>
      </c>
      <c r="AK239" s="11" t="s">
        <v>114</v>
      </c>
      <c r="AL239" s="11"/>
      <c r="AM239" s="58">
        <v>1.2</v>
      </c>
      <c r="AN239" s="58"/>
      <c r="AO239" s="58"/>
      <c r="AP239" s="11" t="s">
        <v>115</v>
      </c>
      <c r="AQ239" s="11"/>
      <c r="AT239" s="11"/>
      <c r="AU239" s="11"/>
      <c r="AV239" s="11"/>
      <c r="AW239" s="11"/>
      <c r="AX239" s="11"/>
      <c r="AY239" s="11"/>
    </row>
    <row r="240" spans="1:51" ht="18" customHeight="1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C240" s="11"/>
      <c r="AD240" s="11"/>
      <c r="AE240" s="11" t="s">
        <v>116</v>
      </c>
      <c r="AF240" s="11"/>
      <c r="AG240" s="58">
        <v>2.1</v>
      </c>
      <c r="AH240" s="58"/>
      <c r="AI240" s="58"/>
      <c r="AJ240" s="11" t="s">
        <v>115</v>
      </c>
      <c r="AT240" s="11"/>
      <c r="AU240" s="11"/>
      <c r="AV240" s="11"/>
      <c r="AW240" s="11"/>
      <c r="AX240" s="11"/>
      <c r="AY240" s="11"/>
    </row>
    <row r="241" spans="1:51" ht="18" customHeight="1">
      <c r="A241" s="11"/>
      <c r="B241" s="11"/>
      <c r="C241" s="11"/>
      <c r="D241" s="11"/>
      <c r="E241" s="11"/>
      <c r="F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66"/>
      <c r="AC241" s="11"/>
      <c r="AD241" s="11"/>
      <c r="AE241" s="163" t="s">
        <v>51</v>
      </c>
      <c r="AK241" s="11"/>
      <c r="AL241" s="11"/>
      <c r="AM241" s="11"/>
      <c r="AN241" s="11"/>
      <c r="AO241" s="11"/>
      <c r="AP241" s="11"/>
      <c r="AQ241" s="11"/>
      <c r="AT241" s="11"/>
      <c r="AU241" s="11"/>
      <c r="AV241" s="11"/>
      <c r="AW241" s="11"/>
      <c r="AX241" s="11"/>
      <c r="AY241" s="11"/>
    </row>
    <row r="242" spans="1:51" ht="18" customHeight="1">
      <c r="A242" s="11"/>
      <c r="B242" s="11"/>
      <c r="C242" s="11"/>
      <c r="D242" s="11"/>
      <c r="E242" s="11"/>
      <c r="F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C242" s="11"/>
      <c r="AD242" s="11"/>
      <c r="AE242" s="163" t="s">
        <v>117</v>
      </c>
      <c r="AF242" s="11"/>
      <c r="AG242" s="51">
        <f>AG239+AM239+AG248*2</f>
        <v>2.6399999999999997</v>
      </c>
      <c r="AH242" s="51"/>
      <c r="AI242" s="51"/>
      <c r="AJ242" s="11" t="s">
        <v>113</v>
      </c>
      <c r="AK242" s="163" t="s">
        <v>118</v>
      </c>
      <c r="AL242" s="11"/>
      <c r="AM242" s="51">
        <f>AG240+AG249*2</f>
        <v>2.34</v>
      </c>
      <c r="AN242" s="51"/>
      <c r="AO242" s="51"/>
      <c r="AP242" s="11" t="s">
        <v>115</v>
      </c>
      <c r="AQ242" s="11"/>
      <c r="AT242" s="11"/>
      <c r="AU242" s="11"/>
      <c r="AV242" s="11"/>
      <c r="AW242" s="11"/>
      <c r="AX242" s="11"/>
      <c r="AY242" s="11"/>
    </row>
    <row r="243" spans="1:51" ht="18" customHeight="1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67" t="str">
        <f>C264&amp;" - "&amp;AG250&amp;" x "&amp;AJ250</f>
        <v>2 - 150 x 14</v>
      </c>
      <c r="N243" s="167"/>
      <c r="O243" s="167"/>
      <c r="P243" s="167"/>
      <c r="Q243" s="167"/>
      <c r="R243" s="167"/>
      <c r="S243" s="11"/>
      <c r="T243" s="11"/>
      <c r="U243" s="11"/>
      <c r="V243" s="11"/>
      <c r="W243" s="11"/>
      <c r="X243" s="11"/>
      <c r="Y243" s="11"/>
      <c r="Z243" s="11"/>
      <c r="AA243" s="11"/>
      <c r="AC243" s="11"/>
      <c r="AD243" s="11"/>
      <c r="AE243" s="163" t="s">
        <v>119</v>
      </c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T243" s="11"/>
      <c r="AU243" s="11"/>
      <c r="AV243" s="11"/>
      <c r="AW243" s="11"/>
      <c r="AX243" s="11"/>
      <c r="AY243" s="11"/>
    </row>
    <row r="244" spans="1:81" ht="18" customHeight="1">
      <c r="A244" s="11"/>
      <c r="B244" s="11"/>
      <c r="C244" s="11"/>
      <c r="D244" s="11"/>
      <c r="E244" s="11"/>
      <c r="F244" s="11"/>
      <c r="G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C244" s="11"/>
      <c r="AD244" s="11"/>
      <c r="AE244" s="163" t="s">
        <v>120</v>
      </c>
      <c r="AF244" s="11"/>
      <c r="AG244" s="58">
        <v>2.195</v>
      </c>
      <c r="AH244" s="58"/>
      <c r="AI244" s="58"/>
      <c r="AJ244" s="11" t="s">
        <v>113</v>
      </c>
      <c r="AK244" s="163" t="s">
        <v>121</v>
      </c>
      <c r="AL244" s="11"/>
      <c r="AM244" s="58">
        <v>2.007</v>
      </c>
      <c r="AN244" s="58"/>
      <c r="AO244" s="58"/>
      <c r="AP244" s="11" t="s">
        <v>115</v>
      </c>
      <c r="AQ244" s="11"/>
      <c r="AT244" s="11"/>
      <c r="AU244" s="11"/>
      <c r="AV244" s="11"/>
      <c r="AW244" s="11"/>
      <c r="AX244" s="11"/>
      <c r="AY244" s="11"/>
      <c r="CA244" s="168"/>
      <c r="CB244" s="168"/>
      <c r="CC244" s="168"/>
    </row>
    <row r="245" spans="1:81" ht="18" customHeight="1">
      <c r="A245" s="11"/>
      <c r="B245" s="11"/>
      <c r="C245" s="11"/>
      <c r="D245" s="169" t="s">
        <v>287</v>
      </c>
      <c r="E245" s="169"/>
      <c r="F245" s="170">
        <f>DEGREES(ATAN((AG239-AG240/2)/AG238))</f>
        <v>3.301865674435001</v>
      </c>
      <c r="G245" s="170"/>
      <c r="H245" s="170"/>
      <c r="I245" s="69" t="s">
        <v>122</v>
      </c>
      <c r="J245" s="11"/>
      <c r="K245" s="11"/>
      <c r="L245" s="11"/>
      <c r="M245" s="11"/>
      <c r="N245" s="167" t="str">
        <f>C267&amp;" - "&amp;AN250&amp;" x "&amp;AQ250</f>
        <v>5 - 150 x 14</v>
      </c>
      <c r="O245" s="167"/>
      <c r="P245" s="167"/>
      <c r="Q245" s="167"/>
      <c r="R245" s="167"/>
      <c r="S245" s="167"/>
      <c r="T245" s="11"/>
      <c r="U245" s="11"/>
      <c r="V245" s="169" t="s">
        <v>288</v>
      </c>
      <c r="W245" s="169"/>
      <c r="X245" s="170">
        <f>DEGREES(ATAN((AM239-AG240/2)/AG238))</f>
        <v>3.301865674435001</v>
      </c>
      <c r="Y245" s="170"/>
      <c r="Z245" s="170"/>
      <c r="AA245" s="69" t="s">
        <v>122</v>
      </c>
      <c r="AB245" s="11"/>
      <c r="AC245" s="11"/>
      <c r="AD245" s="11"/>
      <c r="AE245" s="163" t="s">
        <v>67</v>
      </c>
      <c r="AF245" s="11"/>
      <c r="AG245" s="58">
        <v>0.021</v>
      </c>
      <c r="AH245" s="58"/>
      <c r="AI245" s="58"/>
      <c r="AJ245" s="11" t="s">
        <v>65</v>
      </c>
      <c r="AK245" s="11"/>
      <c r="AL245" s="11"/>
      <c r="AM245" s="11"/>
      <c r="AN245" s="11"/>
      <c r="AO245" s="11"/>
      <c r="AP245" s="11"/>
      <c r="AQ245" s="11"/>
      <c r="AT245" s="11"/>
      <c r="AU245" s="11"/>
      <c r="AV245" s="11"/>
      <c r="AW245" s="169"/>
      <c r="AX245" s="169"/>
      <c r="AY245" s="11"/>
      <c r="CA245" s="168"/>
      <c r="CB245" s="168"/>
      <c r="CC245" s="168"/>
    </row>
    <row r="246" spans="1:81" ht="18" customHeight="1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63" t="s">
        <v>68</v>
      </c>
      <c r="AF246" s="11"/>
      <c r="AG246" s="58">
        <v>0.021</v>
      </c>
      <c r="AH246" s="58"/>
      <c r="AI246" s="58"/>
      <c r="AJ246" s="11" t="s">
        <v>65</v>
      </c>
      <c r="AK246" s="11"/>
      <c r="AL246" s="11"/>
      <c r="AM246" s="11"/>
      <c r="AN246" s="11"/>
      <c r="AO246" s="11"/>
      <c r="AP246" s="11"/>
      <c r="AQ246" s="11"/>
      <c r="AT246" s="11"/>
      <c r="AU246" s="11"/>
      <c r="AV246" s="11"/>
      <c r="AW246" s="11"/>
      <c r="AX246" s="11"/>
      <c r="AY246" s="11"/>
      <c r="CA246" s="168"/>
      <c r="CB246" s="168"/>
      <c r="CC246" s="168"/>
    </row>
    <row r="247" spans="1:81" ht="18" customHeight="1">
      <c r="A247" s="11"/>
      <c r="B247" s="11"/>
      <c r="C247" s="11"/>
      <c r="D247" s="11"/>
      <c r="E247" s="11"/>
      <c r="F247" s="11"/>
      <c r="G247" s="11"/>
      <c r="H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63" t="s">
        <v>69</v>
      </c>
      <c r="AF247" s="11"/>
      <c r="AG247" s="58">
        <v>0.01</v>
      </c>
      <c r="AH247" s="58"/>
      <c r="AI247" s="58"/>
      <c r="AJ247" s="11" t="s">
        <v>65</v>
      </c>
      <c r="AK247" s="11"/>
      <c r="AL247" s="11"/>
      <c r="AM247" s="11"/>
      <c r="AN247" s="11"/>
      <c r="AO247" s="11"/>
      <c r="AP247" s="11"/>
      <c r="AQ247" s="11"/>
      <c r="CA247" s="168"/>
      <c r="CB247" s="168"/>
      <c r="CC247" s="168"/>
    </row>
    <row r="248" spans="1:81" ht="18" customHeight="1">
      <c r="A248" s="11"/>
      <c r="B248" s="11"/>
      <c r="E248" s="165"/>
      <c r="F248" s="165"/>
      <c r="G248" s="165"/>
      <c r="H248" s="165"/>
      <c r="I248" s="165"/>
      <c r="J248" s="171"/>
      <c r="K248" s="165"/>
      <c r="L248" s="165"/>
      <c r="M248" s="165"/>
      <c r="N248" s="165"/>
      <c r="O248" s="165"/>
      <c r="P248" s="165"/>
      <c r="Q248" s="165"/>
      <c r="R248" s="165"/>
      <c r="S248" s="165"/>
      <c r="T248" s="172"/>
      <c r="U248" s="165"/>
      <c r="V248" s="165"/>
      <c r="AD248" s="11"/>
      <c r="AE248" s="162" t="s">
        <v>123</v>
      </c>
      <c r="AG248" s="56">
        <v>0.12</v>
      </c>
      <c r="AH248" s="56"/>
      <c r="AI248" s="56"/>
      <c r="AJ248" s="162" t="s">
        <v>65</v>
      </c>
      <c r="AK248" s="11"/>
      <c r="AL248" s="11"/>
      <c r="AM248" s="11"/>
      <c r="AN248" s="11"/>
      <c r="AO248" s="11"/>
      <c r="AP248" s="11"/>
      <c r="AQ248" s="11"/>
      <c r="AX248" s="165"/>
      <c r="CA248" s="168"/>
      <c r="CB248" s="168"/>
      <c r="CC248" s="168"/>
    </row>
    <row r="249" spans="5:50" ht="18" customHeight="1">
      <c r="E249" s="165"/>
      <c r="F249" s="165"/>
      <c r="G249" s="165"/>
      <c r="H249" s="165"/>
      <c r="I249" s="165"/>
      <c r="J249" s="165"/>
      <c r="K249" s="165"/>
      <c r="N249" s="165"/>
      <c r="O249" s="165"/>
      <c r="P249" s="165"/>
      <c r="Q249" s="165"/>
      <c r="R249" s="165"/>
      <c r="S249" s="165"/>
      <c r="T249" s="165"/>
      <c r="U249" s="165"/>
      <c r="V249" s="165"/>
      <c r="AE249" s="162" t="s">
        <v>124</v>
      </c>
      <c r="AG249" s="56">
        <v>0.12</v>
      </c>
      <c r="AH249" s="56"/>
      <c r="AI249" s="56"/>
      <c r="AJ249" s="162" t="s">
        <v>65</v>
      </c>
      <c r="AX249" s="165"/>
    </row>
    <row r="250" spans="31:45" ht="18" customHeight="1">
      <c r="AE250" s="162" t="s">
        <v>70</v>
      </c>
      <c r="AG250" s="55">
        <v>150</v>
      </c>
      <c r="AH250" s="55"/>
      <c r="AI250" s="173" t="s">
        <v>125</v>
      </c>
      <c r="AJ250" s="55">
        <v>14</v>
      </c>
      <c r="AK250" s="55"/>
      <c r="AL250" s="162" t="s">
        <v>71</v>
      </c>
      <c r="AM250" s="162" t="s">
        <v>113</v>
      </c>
      <c r="AN250" s="55">
        <v>150</v>
      </c>
      <c r="AO250" s="55"/>
      <c r="AP250" s="173" t="s">
        <v>125</v>
      </c>
      <c r="AQ250" s="55">
        <v>14</v>
      </c>
      <c r="AR250" s="55"/>
      <c r="AS250" s="162" t="s">
        <v>71</v>
      </c>
    </row>
    <row r="251" spans="33:83" ht="18" customHeight="1">
      <c r="AG251" s="174"/>
      <c r="AH251" s="174"/>
      <c r="AI251" s="173"/>
      <c r="AJ251" s="174"/>
      <c r="AK251" s="174"/>
      <c r="AN251" s="174"/>
      <c r="AO251" s="174"/>
      <c r="AP251" s="173"/>
      <c r="AQ251" s="174"/>
      <c r="AR251" s="174"/>
      <c r="CA251" s="174"/>
      <c r="CB251" s="173"/>
      <c r="CD251" s="174"/>
      <c r="CE251" s="173"/>
    </row>
    <row r="252" spans="4:54" ht="18" customHeight="1">
      <c r="D252" s="175" t="s">
        <v>126</v>
      </c>
      <c r="E252" s="176"/>
      <c r="F252" s="176"/>
      <c r="G252" s="176"/>
      <c r="H252" s="176"/>
      <c r="I252" s="176"/>
      <c r="J252" s="176"/>
      <c r="K252" s="176"/>
      <c r="L252" s="176"/>
      <c r="M252" s="176"/>
      <c r="N252" s="176"/>
      <c r="O252" s="176"/>
      <c r="P252" s="176"/>
      <c r="Q252" s="176"/>
      <c r="R252" s="176"/>
      <c r="S252" s="176"/>
      <c r="T252" s="176"/>
      <c r="U252" s="176"/>
      <c r="V252" s="176"/>
      <c r="W252" s="176"/>
      <c r="X252" s="176"/>
      <c r="Y252" s="176"/>
      <c r="Z252" s="176"/>
      <c r="AA252" s="176"/>
      <c r="AB252" s="177"/>
      <c r="AC252" s="175" t="s">
        <v>127</v>
      </c>
      <c r="AD252" s="49"/>
      <c r="AE252" s="49"/>
      <c r="AF252" s="50"/>
      <c r="AG252" s="178" t="s">
        <v>128</v>
      </c>
      <c r="AH252" s="176"/>
      <c r="AI252" s="176"/>
      <c r="AJ252" s="176"/>
      <c r="AK252" s="176"/>
      <c r="AL252" s="177"/>
      <c r="AU252" s="11"/>
      <c r="AV252" s="11"/>
      <c r="AW252" s="11"/>
      <c r="AX252" s="11"/>
      <c r="AY252" s="11"/>
      <c r="AZ252" s="11"/>
      <c r="BA252" s="11"/>
      <c r="BB252" s="11"/>
    </row>
    <row r="253" spans="4:54" ht="18" customHeight="1">
      <c r="D253" s="179" t="s">
        <v>129</v>
      </c>
      <c r="E253" s="180"/>
      <c r="F253" s="180"/>
      <c r="G253" s="180"/>
      <c r="H253" s="180"/>
      <c r="I253" s="180"/>
      <c r="J253" s="180"/>
      <c r="K253" s="180"/>
      <c r="L253" s="180"/>
      <c r="M253" s="180"/>
      <c r="N253" s="180"/>
      <c r="O253" s="180"/>
      <c r="P253" s="180"/>
      <c r="Q253" s="180"/>
      <c r="R253" s="180"/>
      <c r="S253" s="180"/>
      <c r="T253" s="180"/>
      <c r="U253" s="180"/>
      <c r="V253" s="180"/>
      <c r="W253" s="180"/>
      <c r="X253" s="180"/>
      <c r="Y253" s="180"/>
      <c r="Z253" s="180"/>
      <c r="AA253" s="180"/>
      <c r="AB253" s="181"/>
      <c r="AC253" s="182" t="s">
        <v>28</v>
      </c>
      <c r="AD253" s="182"/>
      <c r="AE253" s="182"/>
      <c r="AF253" s="182"/>
      <c r="AG253" s="82">
        <v>200000</v>
      </c>
      <c r="AH253" s="83"/>
      <c r="AI253" s="83"/>
      <c r="AJ253" s="83"/>
      <c r="AK253" s="83"/>
      <c r="AL253" s="84"/>
      <c r="AU253" s="11"/>
      <c r="AV253" s="11"/>
      <c r="AW253" s="11"/>
      <c r="AX253" s="11"/>
      <c r="AY253" s="11"/>
      <c r="AZ253" s="11"/>
      <c r="BA253" s="11"/>
      <c r="BB253" s="11"/>
    </row>
    <row r="254" spans="4:54" ht="18" customHeight="1">
      <c r="D254" s="179" t="s">
        <v>52</v>
      </c>
      <c r="E254" s="180"/>
      <c r="F254" s="180"/>
      <c r="G254" s="180"/>
      <c r="H254" s="180"/>
      <c r="I254" s="180"/>
      <c r="J254" s="180"/>
      <c r="K254" s="180"/>
      <c r="L254" s="180"/>
      <c r="M254" s="180"/>
      <c r="N254" s="180"/>
      <c r="O254" s="180"/>
      <c r="P254" s="180"/>
      <c r="Q254" s="180"/>
      <c r="R254" s="180"/>
      <c r="S254" s="180"/>
      <c r="T254" s="180"/>
      <c r="U254" s="180"/>
      <c r="V254" s="180"/>
      <c r="W254" s="180"/>
      <c r="X254" s="180"/>
      <c r="Y254" s="180"/>
      <c r="Z254" s="180"/>
      <c r="AA254" s="180"/>
      <c r="AB254" s="181"/>
      <c r="AC254" s="183" t="s">
        <v>130</v>
      </c>
      <c r="AD254" s="182"/>
      <c r="AE254" s="182"/>
      <c r="AF254" s="184"/>
      <c r="AG254" s="87">
        <v>-3321.204</v>
      </c>
      <c r="AH254" s="88"/>
      <c r="AI254" s="88"/>
      <c r="AJ254" s="88"/>
      <c r="AK254" s="88"/>
      <c r="AL254" s="89"/>
      <c r="AU254" s="11"/>
      <c r="AV254" s="11"/>
      <c r="AW254" s="11"/>
      <c r="AX254" s="11"/>
      <c r="AY254" s="11"/>
      <c r="AZ254" s="11"/>
      <c r="BA254" s="11"/>
      <c r="BB254" s="11"/>
    </row>
    <row r="255" spans="4:54" ht="18" customHeight="1">
      <c r="D255" s="179" t="s">
        <v>102</v>
      </c>
      <c r="E255" s="180"/>
      <c r="F255" s="180"/>
      <c r="G255" s="180"/>
      <c r="H255" s="180"/>
      <c r="I255" s="180"/>
      <c r="J255" s="180"/>
      <c r="K255" s="180"/>
      <c r="L255" s="180"/>
      <c r="M255" s="180"/>
      <c r="N255" s="180"/>
      <c r="O255" s="180"/>
      <c r="P255" s="180"/>
      <c r="Q255" s="180"/>
      <c r="R255" s="180"/>
      <c r="S255" s="180"/>
      <c r="T255" s="180"/>
      <c r="U255" s="180"/>
      <c r="V255" s="180"/>
      <c r="W255" s="180"/>
      <c r="X255" s="180"/>
      <c r="Y255" s="180"/>
      <c r="Z255" s="180"/>
      <c r="AA255" s="180"/>
      <c r="AB255" s="181"/>
      <c r="AC255" s="183" t="s">
        <v>130</v>
      </c>
      <c r="AD255" s="182"/>
      <c r="AE255" s="182"/>
      <c r="AF255" s="184"/>
      <c r="AG255" s="87">
        <v>-2712.601</v>
      </c>
      <c r="AH255" s="88"/>
      <c r="AI255" s="88"/>
      <c r="AJ255" s="88"/>
      <c r="AK255" s="88"/>
      <c r="AL255" s="89"/>
      <c r="AU255" s="11"/>
      <c r="AV255" s="11"/>
      <c r="AW255" s="11"/>
      <c r="AX255" s="11"/>
      <c r="AY255" s="11"/>
      <c r="AZ255" s="11"/>
      <c r="BA255" s="11"/>
      <c r="BB255" s="11"/>
    </row>
    <row r="256" spans="4:54" ht="18" customHeight="1">
      <c r="D256" s="179" t="s">
        <v>53</v>
      </c>
      <c r="E256" s="180"/>
      <c r="F256" s="180"/>
      <c r="G256" s="180"/>
      <c r="H256" s="180"/>
      <c r="I256" s="180"/>
      <c r="J256" s="180"/>
      <c r="K256" s="180"/>
      <c r="L256" s="180"/>
      <c r="M256" s="180"/>
      <c r="N256" s="180"/>
      <c r="O256" s="180"/>
      <c r="P256" s="180"/>
      <c r="Q256" s="180"/>
      <c r="R256" s="180"/>
      <c r="S256" s="180"/>
      <c r="T256" s="180"/>
      <c r="U256" s="180"/>
      <c r="V256" s="180"/>
      <c r="W256" s="180"/>
      <c r="X256" s="180"/>
      <c r="Y256" s="180"/>
      <c r="Z256" s="180"/>
      <c r="AA256" s="180"/>
      <c r="AB256" s="181"/>
      <c r="AC256" s="183" t="s">
        <v>131</v>
      </c>
      <c r="AD256" s="182"/>
      <c r="AE256" s="182"/>
      <c r="AF256" s="184"/>
      <c r="AG256" s="87">
        <v>-1068.806</v>
      </c>
      <c r="AH256" s="88"/>
      <c r="AI256" s="88"/>
      <c r="AJ256" s="88"/>
      <c r="AK256" s="88"/>
      <c r="AL256" s="89"/>
      <c r="AU256" s="11"/>
      <c r="AV256" s="11"/>
      <c r="AW256" s="11"/>
      <c r="AX256" s="11"/>
      <c r="AY256" s="11"/>
      <c r="AZ256" s="11"/>
      <c r="BA256" s="11"/>
      <c r="BB256" s="11"/>
    </row>
    <row r="257" spans="4:54" ht="18" customHeight="1">
      <c r="D257" s="179" t="s">
        <v>103</v>
      </c>
      <c r="E257" s="180"/>
      <c r="F257" s="180"/>
      <c r="G257" s="180"/>
      <c r="H257" s="180"/>
      <c r="I257" s="180"/>
      <c r="J257" s="180"/>
      <c r="K257" s="180"/>
      <c r="L257" s="180"/>
      <c r="M257" s="180"/>
      <c r="N257" s="180"/>
      <c r="O257" s="180"/>
      <c r="P257" s="180"/>
      <c r="Q257" s="180"/>
      <c r="R257" s="180"/>
      <c r="S257" s="180"/>
      <c r="T257" s="180"/>
      <c r="U257" s="180"/>
      <c r="V257" s="180"/>
      <c r="W257" s="180"/>
      <c r="X257" s="180"/>
      <c r="Y257" s="180"/>
      <c r="Z257" s="180"/>
      <c r="AA257" s="180"/>
      <c r="AB257" s="181"/>
      <c r="AC257" s="183" t="s">
        <v>131</v>
      </c>
      <c r="AD257" s="182"/>
      <c r="AE257" s="182"/>
      <c r="AF257" s="184"/>
      <c r="AG257" s="87">
        <v>-531.592</v>
      </c>
      <c r="AH257" s="88"/>
      <c r="AI257" s="88"/>
      <c r="AJ257" s="88"/>
      <c r="AK257" s="88"/>
      <c r="AL257" s="89"/>
      <c r="AU257" s="11"/>
      <c r="AV257" s="11"/>
      <c r="AW257" s="11"/>
      <c r="AX257" s="11"/>
      <c r="AY257" s="11"/>
      <c r="AZ257" s="11"/>
      <c r="BA257" s="11"/>
      <c r="BB257" s="11"/>
    </row>
    <row r="258" spans="4:54" ht="18" customHeight="1">
      <c r="D258" s="179" t="s">
        <v>54</v>
      </c>
      <c r="E258" s="180"/>
      <c r="F258" s="180"/>
      <c r="G258" s="180"/>
      <c r="H258" s="180"/>
      <c r="I258" s="180"/>
      <c r="J258" s="180"/>
      <c r="K258" s="180"/>
      <c r="L258" s="180"/>
      <c r="M258" s="180"/>
      <c r="N258" s="180"/>
      <c r="O258" s="180"/>
      <c r="P258" s="180"/>
      <c r="Q258" s="180"/>
      <c r="R258" s="180"/>
      <c r="S258" s="180"/>
      <c r="T258" s="180"/>
      <c r="U258" s="180"/>
      <c r="V258" s="180"/>
      <c r="W258" s="180"/>
      <c r="X258" s="180"/>
      <c r="Y258" s="180"/>
      <c r="Z258" s="180"/>
      <c r="AA258" s="180"/>
      <c r="AB258" s="181"/>
      <c r="AC258" s="183" t="s">
        <v>130</v>
      </c>
      <c r="AD258" s="182"/>
      <c r="AE258" s="182"/>
      <c r="AF258" s="184"/>
      <c r="AG258" s="87">
        <v>282.039</v>
      </c>
      <c r="AH258" s="88"/>
      <c r="AI258" s="88"/>
      <c r="AJ258" s="88"/>
      <c r="AK258" s="88"/>
      <c r="AL258" s="89"/>
      <c r="AU258" s="11"/>
      <c r="AV258" s="11"/>
      <c r="AW258" s="11"/>
      <c r="AX258" s="11"/>
      <c r="AY258" s="11"/>
      <c r="AZ258" s="11"/>
      <c r="BA258" s="11"/>
      <c r="BB258" s="11"/>
    </row>
    <row r="259" spans="4:54" ht="18" customHeight="1">
      <c r="D259" s="179" t="s">
        <v>104</v>
      </c>
      <c r="E259" s="180"/>
      <c r="F259" s="180"/>
      <c r="G259" s="180"/>
      <c r="H259" s="180"/>
      <c r="I259" s="180"/>
      <c r="J259" s="180"/>
      <c r="K259" s="180"/>
      <c r="L259" s="180"/>
      <c r="M259" s="180"/>
      <c r="N259" s="180"/>
      <c r="O259" s="180"/>
      <c r="P259" s="180"/>
      <c r="Q259" s="180"/>
      <c r="R259" s="180"/>
      <c r="S259" s="180"/>
      <c r="T259" s="180"/>
      <c r="U259" s="180"/>
      <c r="V259" s="180"/>
      <c r="W259" s="180"/>
      <c r="X259" s="180"/>
      <c r="Y259" s="180"/>
      <c r="Z259" s="180"/>
      <c r="AA259" s="180"/>
      <c r="AB259" s="181"/>
      <c r="AC259" s="183" t="s">
        <v>130</v>
      </c>
      <c r="AD259" s="182"/>
      <c r="AE259" s="182"/>
      <c r="AF259" s="184"/>
      <c r="AG259" s="87">
        <v>434.84</v>
      </c>
      <c r="AH259" s="88"/>
      <c r="AI259" s="88"/>
      <c r="AJ259" s="88"/>
      <c r="AK259" s="88"/>
      <c r="AL259" s="89"/>
      <c r="AU259" s="11"/>
      <c r="AV259" s="11"/>
      <c r="AW259" s="11"/>
      <c r="AX259" s="11"/>
      <c r="AY259" s="11"/>
      <c r="AZ259" s="11"/>
      <c r="BA259" s="11"/>
      <c r="BB259" s="11"/>
    </row>
    <row r="260" spans="47:54" ht="18" customHeight="1">
      <c r="AU260" s="11"/>
      <c r="AV260" s="11"/>
      <c r="AW260" s="11"/>
      <c r="AX260" s="11"/>
      <c r="AY260" s="11"/>
      <c r="AZ260" s="11"/>
      <c r="BA260" s="11"/>
      <c r="BB260" s="11"/>
    </row>
    <row r="261" spans="4:54" ht="18" customHeight="1">
      <c r="D261" s="162" t="s">
        <v>132</v>
      </c>
      <c r="AU261" s="11"/>
      <c r="AV261" s="11"/>
      <c r="AW261" s="11"/>
      <c r="AX261" s="11"/>
      <c r="AY261" s="11"/>
      <c r="AZ261" s="11"/>
      <c r="BA261" s="11"/>
      <c r="BB261" s="11"/>
    </row>
    <row r="262" spans="3:54" ht="18" customHeight="1">
      <c r="C262" s="175" t="s">
        <v>133</v>
      </c>
      <c r="D262" s="176"/>
      <c r="E262" s="176"/>
      <c r="F262" s="176"/>
      <c r="G262" s="176"/>
      <c r="H262" s="176"/>
      <c r="I262" s="176"/>
      <c r="J262" s="177"/>
      <c r="K262" s="178" t="s">
        <v>134</v>
      </c>
      <c r="L262" s="176"/>
      <c r="M262" s="177"/>
      <c r="N262" s="178" t="s">
        <v>135</v>
      </c>
      <c r="O262" s="176"/>
      <c r="P262" s="177"/>
      <c r="Q262" s="178" t="s">
        <v>136</v>
      </c>
      <c r="R262" s="176"/>
      <c r="S262" s="176"/>
      <c r="T262" s="177"/>
      <c r="U262" s="178" t="s">
        <v>137</v>
      </c>
      <c r="V262" s="176"/>
      <c r="W262" s="176"/>
      <c r="X262" s="177"/>
      <c r="Y262" s="178" t="s">
        <v>138</v>
      </c>
      <c r="Z262" s="176"/>
      <c r="AA262" s="176"/>
      <c r="AB262" s="176"/>
      <c r="AC262" s="177"/>
      <c r="AD262" s="178" t="s">
        <v>29</v>
      </c>
      <c r="AE262" s="176"/>
      <c r="AF262" s="176"/>
      <c r="AG262" s="176"/>
      <c r="AH262" s="176"/>
      <c r="AI262" s="177"/>
      <c r="AJ262" s="178" t="s">
        <v>30</v>
      </c>
      <c r="AK262" s="176"/>
      <c r="AL262" s="176"/>
      <c r="AM262" s="176"/>
      <c r="AN262" s="176"/>
      <c r="AO262" s="177"/>
      <c r="AU262" s="11"/>
      <c r="AV262" s="11"/>
      <c r="AW262" s="11"/>
      <c r="AX262" s="11"/>
      <c r="AY262" s="11"/>
      <c r="AZ262" s="11"/>
      <c r="BA262" s="11"/>
      <c r="BB262" s="11"/>
    </row>
    <row r="263" spans="3:54" ht="18" customHeight="1">
      <c r="C263" s="185">
        <v>1</v>
      </c>
      <c r="D263" s="180" t="s">
        <v>72</v>
      </c>
      <c r="E263" s="180" t="s">
        <v>73</v>
      </c>
      <c r="F263" s="180"/>
      <c r="G263" s="180"/>
      <c r="H263" s="180"/>
      <c r="I263" s="180"/>
      <c r="J263" s="181"/>
      <c r="K263" s="186">
        <f>AG244*1000</f>
        <v>2195</v>
      </c>
      <c r="L263" s="187"/>
      <c r="M263" s="188"/>
      <c r="N263" s="186">
        <f>AG245*1000</f>
        <v>21</v>
      </c>
      <c r="O263" s="187"/>
      <c r="P263" s="188"/>
      <c r="Q263" s="189">
        <f aca="true" t="shared" si="6" ref="Q263:Q268">C263*K263*N263</f>
        <v>46095</v>
      </c>
      <c r="R263" s="190"/>
      <c r="S263" s="190"/>
      <c r="T263" s="191"/>
      <c r="U263" s="192">
        <f>-(N263+AG238*1000)/2</f>
        <v>-1310.5</v>
      </c>
      <c r="V263" s="193"/>
      <c r="W263" s="193"/>
      <c r="X263" s="194"/>
      <c r="Y263" s="189">
        <f aca="true" t="shared" si="7" ref="Y263:Y268">Q263*U263</f>
        <v>-60407497.5</v>
      </c>
      <c r="Z263" s="190"/>
      <c r="AA263" s="190"/>
      <c r="AB263" s="190"/>
      <c r="AC263" s="191"/>
      <c r="AD263" s="189">
        <f aca="true" t="shared" si="8" ref="AD263:AD268">U263*Y263</f>
        <v>79164025473.75</v>
      </c>
      <c r="AE263" s="190"/>
      <c r="AF263" s="190"/>
      <c r="AG263" s="190"/>
      <c r="AH263" s="190"/>
      <c r="AI263" s="191"/>
      <c r="AJ263" s="189">
        <f>C263*K263*POWER(N263,3)/12</f>
        <v>1693991.25</v>
      </c>
      <c r="AK263" s="190"/>
      <c r="AL263" s="190"/>
      <c r="AM263" s="190"/>
      <c r="AN263" s="190"/>
      <c r="AO263" s="191"/>
      <c r="AU263" s="11"/>
      <c r="AV263" s="11"/>
      <c r="AW263" s="11"/>
      <c r="AX263" s="11"/>
      <c r="AY263" s="11"/>
      <c r="AZ263" s="11"/>
      <c r="BA263" s="11"/>
      <c r="BB263" s="11"/>
    </row>
    <row r="264" spans="3:54" ht="18" customHeight="1">
      <c r="C264" s="101">
        <v>2</v>
      </c>
      <c r="D264" s="180" t="s">
        <v>72</v>
      </c>
      <c r="E264" s="180" t="s">
        <v>74</v>
      </c>
      <c r="F264" s="180"/>
      <c r="G264" s="180"/>
      <c r="H264" s="180"/>
      <c r="I264" s="180"/>
      <c r="J264" s="181"/>
      <c r="K264" s="186">
        <f>AJ250</f>
        <v>14</v>
      </c>
      <c r="L264" s="187"/>
      <c r="M264" s="188"/>
      <c r="N264" s="186">
        <f>AG250</f>
        <v>150</v>
      </c>
      <c r="O264" s="187"/>
      <c r="P264" s="188"/>
      <c r="Q264" s="189">
        <f t="shared" si="6"/>
        <v>4200</v>
      </c>
      <c r="R264" s="190"/>
      <c r="S264" s="190"/>
      <c r="T264" s="191"/>
      <c r="U264" s="192">
        <f>-(AG238*1000-N264)/2</f>
        <v>-1225</v>
      </c>
      <c r="V264" s="193"/>
      <c r="W264" s="193"/>
      <c r="X264" s="194"/>
      <c r="Y264" s="189">
        <f t="shared" si="7"/>
        <v>-5145000</v>
      </c>
      <c r="Z264" s="190"/>
      <c r="AA264" s="190"/>
      <c r="AB264" s="190"/>
      <c r="AC264" s="191"/>
      <c r="AD264" s="189">
        <f t="shared" si="8"/>
        <v>6302625000</v>
      </c>
      <c r="AE264" s="190"/>
      <c r="AF264" s="190"/>
      <c r="AG264" s="190"/>
      <c r="AH264" s="190"/>
      <c r="AI264" s="191"/>
      <c r="AJ264" s="189">
        <f>C264*K264*POWER(N264,3)/12</f>
        <v>7875000</v>
      </c>
      <c r="AK264" s="190"/>
      <c r="AL264" s="190"/>
      <c r="AM264" s="190"/>
      <c r="AN264" s="190"/>
      <c r="AO264" s="191"/>
      <c r="AU264" s="11"/>
      <c r="AV264" s="11"/>
      <c r="AW264" s="11"/>
      <c r="AX264" s="11"/>
      <c r="AY264" s="11"/>
      <c r="AZ264" s="11"/>
      <c r="BA264" s="11"/>
      <c r="BB264" s="11"/>
    </row>
    <row r="265" spans="3:54" ht="18" customHeight="1">
      <c r="C265" s="195">
        <v>1</v>
      </c>
      <c r="D265" s="196" t="s">
        <v>72</v>
      </c>
      <c r="E265" s="196" t="s">
        <v>139</v>
      </c>
      <c r="F265" s="196"/>
      <c r="G265" s="196"/>
      <c r="H265" s="196"/>
      <c r="I265" s="196"/>
      <c r="J265" s="197"/>
      <c r="K265" s="192">
        <f>AG247*1000</f>
        <v>10</v>
      </c>
      <c r="L265" s="182"/>
      <c r="M265" s="184"/>
      <c r="N265" s="192">
        <f>AG238/COS(RADIANS(F245))*1000</f>
        <v>2604.3233286210834</v>
      </c>
      <c r="O265" s="182"/>
      <c r="P265" s="184"/>
      <c r="Q265" s="198">
        <f t="shared" si="6"/>
        <v>26043.233286210834</v>
      </c>
      <c r="R265" s="199"/>
      <c r="S265" s="199"/>
      <c r="T265" s="200"/>
      <c r="U265" s="192">
        <v>0</v>
      </c>
      <c r="V265" s="193"/>
      <c r="W265" s="193"/>
      <c r="X265" s="194"/>
      <c r="Y265" s="201">
        <f t="shared" si="7"/>
        <v>0</v>
      </c>
      <c r="Z265" s="202"/>
      <c r="AA265" s="202"/>
      <c r="AB265" s="202"/>
      <c r="AC265" s="203"/>
      <c r="AD265" s="201">
        <f t="shared" si="8"/>
        <v>0</v>
      </c>
      <c r="AE265" s="202"/>
      <c r="AF265" s="202"/>
      <c r="AG265" s="202"/>
      <c r="AH265" s="202"/>
      <c r="AI265" s="203"/>
      <c r="AJ265" s="201">
        <f>C266*K266*N266/12*((N266*COS(RADIANS(F245)))^2+(K266*SIN(RADIANS(F245)))^2)</f>
        <v>14671022137.85546</v>
      </c>
      <c r="AK265" s="202"/>
      <c r="AL265" s="202"/>
      <c r="AM265" s="202"/>
      <c r="AN265" s="202"/>
      <c r="AO265" s="203"/>
      <c r="AU265" s="11"/>
      <c r="AV265" s="11"/>
      <c r="AW265" s="11"/>
      <c r="AX265" s="11"/>
      <c r="AY265" s="11"/>
      <c r="AZ265" s="11"/>
      <c r="BA265" s="11"/>
      <c r="BB265" s="11"/>
    </row>
    <row r="266" spans="3:54" ht="18" customHeight="1">
      <c r="C266" s="195">
        <v>1</v>
      </c>
      <c r="D266" s="196" t="s">
        <v>72</v>
      </c>
      <c r="E266" s="196" t="s">
        <v>140</v>
      </c>
      <c r="F266" s="196"/>
      <c r="G266" s="196"/>
      <c r="H266" s="196"/>
      <c r="I266" s="196"/>
      <c r="J266" s="197"/>
      <c r="K266" s="192">
        <f>AG247*1000</f>
        <v>10</v>
      </c>
      <c r="L266" s="182"/>
      <c r="M266" s="184"/>
      <c r="N266" s="192">
        <f>AG238/COS(RADIANS(X245))*1000</f>
        <v>2604.3233286210834</v>
      </c>
      <c r="O266" s="182"/>
      <c r="P266" s="184"/>
      <c r="Q266" s="198">
        <f t="shared" si="6"/>
        <v>26043.233286210834</v>
      </c>
      <c r="R266" s="199"/>
      <c r="S266" s="199"/>
      <c r="T266" s="200"/>
      <c r="U266" s="192">
        <v>0</v>
      </c>
      <c r="V266" s="193"/>
      <c r="W266" s="193"/>
      <c r="X266" s="194"/>
      <c r="Y266" s="201">
        <f t="shared" si="7"/>
        <v>0</v>
      </c>
      <c r="Z266" s="202"/>
      <c r="AA266" s="202"/>
      <c r="AB266" s="202"/>
      <c r="AC266" s="203"/>
      <c r="AD266" s="201">
        <f t="shared" si="8"/>
        <v>0</v>
      </c>
      <c r="AE266" s="202"/>
      <c r="AF266" s="202"/>
      <c r="AG266" s="202"/>
      <c r="AH266" s="202"/>
      <c r="AI266" s="203"/>
      <c r="AJ266" s="201">
        <f>C266*K266*N266/12*((N266*COS(RADIANS(X245)))^2+(K266*SIN(RADIANS(X245)))^2)</f>
        <v>14671022137.85546</v>
      </c>
      <c r="AK266" s="202"/>
      <c r="AL266" s="202"/>
      <c r="AM266" s="202"/>
      <c r="AN266" s="202"/>
      <c r="AO266" s="203"/>
      <c r="AU266" s="11"/>
      <c r="AV266" s="11"/>
      <c r="AW266" s="11"/>
      <c r="AX266" s="11"/>
      <c r="AY266" s="11"/>
      <c r="AZ266" s="11"/>
      <c r="BA266" s="11"/>
      <c r="BB266" s="11"/>
    </row>
    <row r="267" spans="3:41" ht="18" customHeight="1">
      <c r="C267" s="101">
        <v>5</v>
      </c>
      <c r="D267" s="180" t="s">
        <v>72</v>
      </c>
      <c r="E267" s="180" t="s">
        <v>75</v>
      </c>
      <c r="F267" s="180"/>
      <c r="G267" s="180"/>
      <c r="H267" s="180"/>
      <c r="I267" s="180"/>
      <c r="J267" s="181"/>
      <c r="K267" s="186">
        <f>AQ250</f>
        <v>14</v>
      </c>
      <c r="L267" s="187"/>
      <c r="M267" s="188"/>
      <c r="N267" s="186">
        <f>AN250</f>
        <v>150</v>
      </c>
      <c r="O267" s="187"/>
      <c r="P267" s="188"/>
      <c r="Q267" s="189">
        <f t="shared" si="6"/>
        <v>10500</v>
      </c>
      <c r="R267" s="190"/>
      <c r="S267" s="190"/>
      <c r="T267" s="191"/>
      <c r="U267" s="192">
        <f>(AG238*1000-N267)/2</f>
        <v>1225</v>
      </c>
      <c r="V267" s="193"/>
      <c r="W267" s="193"/>
      <c r="X267" s="194"/>
      <c r="Y267" s="189">
        <f t="shared" si="7"/>
        <v>12862500</v>
      </c>
      <c r="Z267" s="190"/>
      <c r="AA267" s="190"/>
      <c r="AB267" s="190"/>
      <c r="AC267" s="191"/>
      <c r="AD267" s="189">
        <f t="shared" si="8"/>
        <v>15756562500</v>
      </c>
      <c r="AE267" s="190"/>
      <c r="AF267" s="190"/>
      <c r="AG267" s="190"/>
      <c r="AH267" s="190"/>
      <c r="AI267" s="191"/>
      <c r="AJ267" s="189">
        <f>C267*K267*POWER(N267,3)/12</f>
        <v>19687500</v>
      </c>
      <c r="AK267" s="190"/>
      <c r="AL267" s="190"/>
      <c r="AM267" s="190"/>
      <c r="AN267" s="190"/>
      <c r="AO267" s="191"/>
    </row>
    <row r="268" spans="3:41" ht="18" customHeight="1">
      <c r="C268" s="185">
        <v>1</v>
      </c>
      <c r="D268" s="180" t="s">
        <v>72</v>
      </c>
      <c r="E268" s="180" t="s">
        <v>76</v>
      </c>
      <c r="F268" s="180"/>
      <c r="G268" s="180"/>
      <c r="H268" s="180"/>
      <c r="I268" s="180"/>
      <c r="J268" s="181"/>
      <c r="K268" s="186">
        <f>AM244*1000</f>
        <v>2007.0000000000002</v>
      </c>
      <c r="L268" s="187"/>
      <c r="M268" s="188"/>
      <c r="N268" s="186">
        <f>AG246*1000</f>
        <v>21</v>
      </c>
      <c r="O268" s="187"/>
      <c r="P268" s="188"/>
      <c r="Q268" s="189">
        <f t="shared" si="6"/>
        <v>42147.00000000001</v>
      </c>
      <c r="R268" s="190"/>
      <c r="S268" s="190"/>
      <c r="T268" s="191"/>
      <c r="U268" s="192">
        <f>(N268+AG238*1000)/2</f>
        <v>1310.5</v>
      </c>
      <c r="V268" s="193"/>
      <c r="W268" s="193"/>
      <c r="X268" s="194"/>
      <c r="Y268" s="189">
        <f t="shared" si="7"/>
        <v>55233643.50000001</v>
      </c>
      <c r="Z268" s="190"/>
      <c r="AA268" s="190"/>
      <c r="AB268" s="190"/>
      <c r="AC268" s="191"/>
      <c r="AD268" s="189">
        <f t="shared" si="8"/>
        <v>72383689806.75002</v>
      </c>
      <c r="AE268" s="190"/>
      <c r="AF268" s="190"/>
      <c r="AG268" s="190"/>
      <c r="AH268" s="190"/>
      <c r="AI268" s="191"/>
      <c r="AJ268" s="189">
        <f>C268*K268*POWER(N268,3)/12</f>
        <v>1548902.2500000002</v>
      </c>
      <c r="AK268" s="190"/>
      <c r="AL268" s="190"/>
      <c r="AM268" s="190"/>
      <c r="AN268" s="190"/>
      <c r="AO268" s="191"/>
    </row>
    <row r="269" spans="3:41" ht="18" customHeight="1">
      <c r="C269" s="204" t="s">
        <v>141</v>
      </c>
      <c r="D269" s="187"/>
      <c r="E269" s="187"/>
      <c r="F269" s="187"/>
      <c r="G269" s="187"/>
      <c r="H269" s="187"/>
      <c r="I269" s="187"/>
      <c r="J269" s="188"/>
      <c r="K269" s="179"/>
      <c r="L269" s="180"/>
      <c r="M269" s="181"/>
      <c r="N269" s="179"/>
      <c r="O269" s="180"/>
      <c r="P269" s="181"/>
      <c r="Q269" s="205">
        <f>SUM(Q263:Q268)</f>
        <v>155028.46657242166</v>
      </c>
      <c r="R269" s="206"/>
      <c r="S269" s="206"/>
      <c r="T269" s="207"/>
      <c r="U269" s="208"/>
      <c r="V269" s="209"/>
      <c r="W269" s="209"/>
      <c r="X269" s="210"/>
      <c r="Y269" s="189">
        <f>SUM(Y263:Y268)</f>
        <v>2543646.0000000075</v>
      </c>
      <c r="Z269" s="190"/>
      <c r="AA269" s="190"/>
      <c r="AB269" s="190"/>
      <c r="AC269" s="191"/>
      <c r="AD269" s="189">
        <f>SUM(AD263:AD268)</f>
        <v>173606902780.5</v>
      </c>
      <c r="AE269" s="190"/>
      <c r="AF269" s="190"/>
      <c r="AG269" s="190"/>
      <c r="AH269" s="190"/>
      <c r="AI269" s="191"/>
      <c r="AJ269" s="189">
        <f>SUM(AJ263:AJ268)</f>
        <v>29372849669.21092</v>
      </c>
      <c r="AK269" s="190"/>
      <c r="AL269" s="190"/>
      <c r="AM269" s="190"/>
      <c r="AN269" s="190"/>
      <c r="AO269" s="191"/>
    </row>
    <row r="270" spans="7:20" ht="18" customHeight="1">
      <c r="G270" s="211"/>
      <c r="H270" s="211"/>
      <c r="I270" s="211"/>
      <c r="J270" s="211"/>
      <c r="K270" s="11"/>
      <c r="P270" s="212"/>
      <c r="Q270" s="212"/>
      <c r="R270" s="212"/>
      <c r="S270" s="212"/>
      <c r="T270" s="11"/>
    </row>
    <row r="271" spans="7:20" ht="18" customHeight="1">
      <c r="G271" s="211"/>
      <c r="H271" s="211"/>
      <c r="I271" s="211"/>
      <c r="J271" s="211"/>
      <c r="K271" s="11"/>
      <c r="P271" s="212"/>
      <c r="Q271" s="212"/>
      <c r="R271" s="212"/>
      <c r="S271" s="212"/>
      <c r="T271" s="11"/>
    </row>
    <row r="272" ht="18" customHeight="1">
      <c r="A272" s="213" t="s">
        <v>143</v>
      </c>
    </row>
    <row r="283" ht="18" customHeight="1">
      <c r="B283" s="162" t="s">
        <v>144</v>
      </c>
    </row>
    <row r="284" spans="3:32" ht="18" customHeight="1">
      <c r="C284" s="162" t="s">
        <v>77</v>
      </c>
      <c r="L284" s="214">
        <f>AD269</f>
        <v>173606902780.5</v>
      </c>
      <c r="M284" s="214"/>
      <c r="N284" s="214"/>
      <c r="O284" s="214"/>
      <c r="P284" s="214"/>
      <c r="Q284" s="162" t="s">
        <v>78</v>
      </c>
      <c r="R284" s="215">
        <f>AJ269</f>
        <v>29372849669.21092</v>
      </c>
      <c r="S284" s="215"/>
      <c r="T284" s="215"/>
      <c r="U284" s="215"/>
      <c r="V284" s="215"/>
      <c r="W284" s="215"/>
      <c r="X284" s="215"/>
      <c r="Y284" s="162" t="s">
        <v>79</v>
      </c>
      <c r="Z284" s="214">
        <f>L284+R284</f>
        <v>202979752449.7109</v>
      </c>
      <c r="AA284" s="214"/>
      <c r="AB284" s="214"/>
      <c r="AC284" s="214"/>
      <c r="AD284" s="214"/>
      <c r="AE284" s="214"/>
      <c r="AF284" s="9" t="s">
        <v>31</v>
      </c>
    </row>
    <row r="285" spans="2:46" ht="18" customHeight="1">
      <c r="B285" s="11"/>
      <c r="C285" s="11" t="s">
        <v>80</v>
      </c>
      <c r="D285" s="11"/>
      <c r="E285" s="11"/>
      <c r="F285" s="11"/>
      <c r="G285" s="11"/>
      <c r="H285" s="11"/>
      <c r="I285" s="11"/>
      <c r="J285" s="11"/>
      <c r="K285" s="11"/>
      <c r="L285" s="216">
        <f>Y269</f>
        <v>2543646.0000000075</v>
      </c>
      <c r="M285" s="216"/>
      <c r="N285" s="216"/>
      <c r="O285" s="216"/>
      <c r="P285" s="216"/>
      <c r="Q285" s="11" t="s">
        <v>81</v>
      </c>
      <c r="R285" s="216">
        <f>Q269</f>
        <v>155028.46657242166</v>
      </c>
      <c r="S285" s="216"/>
      <c r="T285" s="216"/>
      <c r="U285" s="216"/>
      <c r="V285" s="216"/>
      <c r="W285" s="11" t="s">
        <v>79</v>
      </c>
      <c r="X285" s="217">
        <f>L285/R285</f>
        <v>16.407606010936973</v>
      </c>
      <c r="Y285" s="217"/>
      <c r="Z285" s="217"/>
      <c r="AA285" s="217"/>
      <c r="AB285" s="217"/>
      <c r="AC285" s="217"/>
      <c r="AD285" s="10" t="s">
        <v>145</v>
      </c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</row>
    <row r="286" spans="2:46" ht="18" customHeight="1">
      <c r="B286" s="11"/>
      <c r="C286" s="11" t="s">
        <v>82</v>
      </c>
      <c r="D286" s="11"/>
      <c r="E286" s="11"/>
      <c r="F286" s="11"/>
      <c r="G286" s="11"/>
      <c r="H286" s="11"/>
      <c r="I286" s="11"/>
      <c r="J286" s="11"/>
      <c r="K286" s="11"/>
      <c r="L286" s="216">
        <f>Z284</f>
        <v>202979752449.7109</v>
      </c>
      <c r="M286" s="216"/>
      <c r="N286" s="216"/>
      <c r="O286" s="216"/>
      <c r="P286" s="216"/>
      <c r="Q286" s="11" t="s">
        <v>72</v>
      </c>
      <c r="R286" s="216">
        <f>Q269</f>
        <v>155028.46657242166</v>
      </c>
      <c r="S286" s="216"/>
      <c r="T286" s="216"/>
      <c r="U286" s="216"/>
      <c r="V286" s="216"/>
      <c r="W286" s="11" t="s">
        <v>83</v>
      </c>
      <c r="X286" s="218">
        <f>X285</f>
        <v>16.407606010936973</v>
      </c>
      <c r="Y286" s="51"/>
      <c r="Z286" s="51"/>
      <c r="AA286" s="51"/>
      <c r="AB286" s="51"/>
      <c r="AC286" s="11" t="s">
        <v>79</v>
      </c>
      <c r="AD286" s="216">
        <f>L286-R286*X286^2</f>
        <v>202938017308.3116</v>
      </c>
      <c r="AE286" s="216"/>
      <c r="AF286" s="216"/>
      <c r="AG286" s="216"/>
      <c r="AH286" s="216"/>
      <c r="AI286" s="216"/>
      <c r="AJ286" s="9" t="s">
        <v>31</v>
      </c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</row>
    <row r="287" spans="2:46" ht="18" customHeight="1">
      <c r="B287" s="11"/>
      <c r="C287" s="11" t="s">
        <v>146</v>
      </c>
      <c r="D287" s="11"/>
      <c r="E287" s="11"/>
      <c r="F287" s="11"/>
      <c r="G287" s="11"/>
      <c r="H287" s="11"/>
      <c r="I287" s="11"/>
      <c r="J287" s="11"/>
      <c r="K287" s="11"/>
      <c r="L287" s="11"/>
      <c r="M287" s="219">
        <f>-AG238*1000</f>
        <v>-2600</v>
      </c>
      <c r="N287" s="51"/>
      <c r="O287" s="51"/>
      <c r="P287" s="51"/>
      <c r="Q287" s="11" t="s">
        <v>84</v>
      </c>
      <c r="R287" s="11"/>
      <c r="S287" s="11"/>
      <c r="T287" s="11" t="s">
        <v>147</v>
      </c>
      <c r="U287" s="219">
        <f>N263</f>
        <v>21</v>
      </c>
      <c r="V287" s="51"/>
      <c r="W287" s="11" t="s">
        <v>72</v>
      </c>
      <c r="X287" s="51">
        <f>X286</f>
        <v>16.407606010936973</v>
      </c>
      <c r="Y287" s="51"/>
      <c r="Z287" s="51"/>
      <c r="AA287" s="51"/>
      <c r="AB287" s="51"/>
      <c r="AC287" s="11" t="s">
        <v>79</v>
      </c>
      <c r="AD287" s="51">
        <f>M287/2-U287-X287</f>
        <v>-1337.407606010937</v>
      </c>
      <c r="AE287" s="51"/>
      <c r="AF287" s="51"/>
      <c r="AG287" s="51"/>
      <c r="AH287" s="51"/>
      <c r="AI287" s="51"/>
      <c r="AJ287" s="10" t="s">
        <v>145</v>
      </c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</row>
    <row r="288" spans="1:46" ht="18" customHeight="1">
      <c r="A288" s="11"/>
      <c r="B288" s="11"/>
      <c r="C288" s="11" t="s">
        <v>148</v>
      </c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51">
        <f>AD287</f>
        <v>-1337.407606010937</v>
      </c>
      <c r="Q288" s="51"/>
      <c r="R288" s="51"/>
      <c r="S288" s="51"/>
      <c r="T288" s="51"/>
      <c r="U288" s="11" t="s">
        <v>149</v>
      </c>
      <c r="V288" s="51">
        <f>(AG238+AG245+AG246)*1000</f>
        <v>2642</v>
      </c>
      <c r="W288" s="51"/>
      <c r="X288" s="51"/>
      <c r="Y288" s="51"/>
      <c r="Z288" s="11" t="s">
        <v>79</v>
      </c>
      <c r="AA288" s="51">
        <f>P288+V288</f>
        <v>1304.592393989063</v>
      </c>
      <c r="AB288" s="51"/>
      <c r="AC288" s="51"/>
      <c r="AD288" s="51"/>
      <c r="AE288" s="51"/>
      <c r="AF288" s="10" t="s">
        <v>145</v>
      </c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</row>
    <row r="289" spans="1:46" ht="18" customHeight="1">
      <c r="A289" s="11"/>
      <c r="B289" s="11"/>
      <c r="C289" s="11" t="s">
        <v>150</v>
      </c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 t="s">
        <v>151</v>
      </c>
      <c r="AB289" s="219">
        <f>((AG239+AM239+AG240)/2+AG247)*(AG238+AG245/2+AG246/2)*1000000</f>
        <v>5923459.999999999</v>
      </c>
      <c r="AC289" s="219"/>
      <c r="AD289" s="219"/>
      <c r="AE289" s="219"/>
      <c r="AF289" s="219"/>
      <c r="AG289" s="11" t="s">
        <v>142</v>
      </c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</row>
    <row r="290" spans="1:46" ht="18" customHeight="1">
      <c r="A290" s="11"/>
      <c r="B290" s="11"/>
      <c r="C290" s="11" t="s">
        <v>55</v>
      </c>
      <c r="D290" s="11"/>
      <c r="E290" s="11"/>
      <c r="F290" s="11"/>
      <c r="G290" s="11"/>
      <c r="H290" s="11"/>
      <c r="I290" s="11"/>
      <c r="J290" s="11"/>
      <c r="K290" s="11"/>
      <c r="L290" s="11"/>
      <c r="M290" s="51">
        <f>AG254*1000000*P288/AD286</f>
        <v>21.88748835545082</v>
      </c>
      <c r="N290" s="51"/>
      <c r="O290" s="51"/>
      <c r="P290" s="51"/>
      <c r="Q290" s="51"/>
      <c r="R290" s="11" t="s">
        <v>28</v>
      </c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</row>
    <row r="291" spans="1:46" ht="18" customHeight="1">
      <c r="A291" s="11"/>
      <c r="B291" s="11"/>
      <c r="C291" s="11" t="s">
        <v>56</v>
      </c>
      <c r="D291" s="11"/>
      <c r="E291" s="11"/>
      <c r="F291" s="11"/>
      <c r="G291" s="11"/>
      <c r="H291" s="11"/>
      <c r="I291" s="11"/>
      <c r="J291" s="11"/>
      <c r="K291" s="11"/>
      <c r="L291" s="11"/>
      <c r="M291" s="51">
        <f>AG254*1000000*AA288/AD286</f>
        <v>-21.35044746546164</v>
      </c>
      <c r="N291" s="51"/>
      <c r="O291" s="51"/>
      <c r="P291" s="51"/>
      <c r="Q291" s="51"/>
      <c r="R291" s="11" t="s">
        <v>28</v>
      </c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</row>
    <row r="292" spans="1:45" ht="18" customHeight="1">
      <c r="A292" s="11"/>
      <c r="B292" s="11"/>
      <c r="C292" s="11" t="s">
        <v>57</v>
      </c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51">
        <f>ABS(AG256)*1000/(Q265+Q266)+ABS(AG258)*1000000/(2*AB289*AG247*1000)</f>
        <v>22.900535492604547</v>
      </c>
      <c r="T292" s="51"/>
      <c r="U292" s="51"/>
      <c r="V292" s="51"/>
      <c r="W292" s="51"/>
      <c r="X292" s="11" t="s">
        <v>28</v>
      </c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</row>
    <row r="293" spans="1:45" ht="18" customHeight="1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</row>
    <row r="294" spans="1:45" ht="18" customHeight="1">
      <c r="A294" s="11"/>
      <c r="B294" s="11" t="s">
        <v>58</v>
      </c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</row>
    <row r="295" spans="1:45" ht="18" customHeight="1">
      <c r="A295" s="11"/>
      <c r="B295" s="11"/>
      <c r="C295" s="11" t="s">
        <v>105</v>
      </c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51">
        <f>AG255*1000000/AD286*AD287</f>
        <v>17.87665641751734</v>
      </c>
      <c r="O295" s="51"/>
      <c r="P295" s="51"/>
      <c r="Q295" s="51"/>
      <c r="R295" s="51"/>
      <c r="S295" s="11" t="s">
        <v>28</v>
      </c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</row>
    <row r="296" spans="1:45" ht="18" customHeight="1">
      <c r="A296" s="11"/>
      <c r="B296" s="11"/>
      <c r="C296" s="11" t="s">
        <v>106</v>
      </c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51">
        <f>AG255*1000000/AD286*AA288</f>
        <v>-17.438027036357514</v>
      </c>
      <c r="O296" s="51"/>
      <c r="P296" s="51"/>
      <c r="Q296" s="51"/>
      <c r="R296" s="51"/>
      <c r="S296" s="11" t="s">
        <v>28</v>
      </c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</row>
    <row r="297" spans="1:45" ht="18" customHeight="1">
      <c r="A297" s="11"/>
      <c r="B297" s="11"/>
      <c r="C297" s="11" t="s">
        <v>107</v>
      </c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51">
        <f>ABS(AG257)*1000/(Q265+Q266)+ABS(AG259)*100000/(2*AB289*AG247*100)</f>
        <v>13.876442310972019</v>
      </c>
      <c r="T297" s="51"/>
      <c r="U297" s="51"/>
      <c r="V297" s="51"/>
      <c r="W297" s="51"/>
      <c r="X297" s="11" t="s">
        <v>28</v>
      </c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</row>
    <row r="298" spans="1:45" ht="18" customHeight="1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</row>
    <row r="299" spans="1:54" ht="18" customHeight="1">
      <c r="A299" s="11"/>
      <c r="B299" s="11" t="s">
        <v>59</v>
      </c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U299" s="12" t="s">
        <v>32</v>
      </c>
      <c r="AV299" s="12"/>
      <c r="AW299" s="12"/>
      <c r="AX299" s="12"/>
      <c r="AY299" s="12"/>
      <c r="AZ299" s="12"/>
      <c r="BA299" s="12"/>
      <c r="BB299" s="12"/>
    </row>
    <row r="300" spans="1:88" ht="18" customHeight="1">
      <c r="A300" s="11"/>
      <c r="B300" s="11"/>
      <c r="C300" s="11" t="s">
        <v>108</v>
      </c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51">
        <f>ABS((AG256+AG257)*1000/(Q265+Q266))+ABS((AG258+AG259)/(2*AB289*AG247*1000))*1000000</f>
        <v>36.77697780357657</v>
      </c>
      <c r="AA300" s="51"/>
      <c r="AB300" s="51"/>
      <c r="AC300" s="51"/>
      <c r="AD300" s="11" t="s">
        <v>28</v>
      </c>
      <c r="AE300" s="11"/>
      <c r="AF300" s="11" t="s">
        <v>86</v>
      </c>
      <c r="AG300" s="11" t="s">
        <v>87</v>
      </c>
      <c r="AH300" s="11"/>
      <c r="AI300" s="11"/>
      <c r="AJ300" s="220">
        <f>HLOOKUP(AG236,AX300:CJ303,AU300,FALSE)</f>
        <v>120</v>
      </c>
      <c r="AK300" s="51"/>
      <c r="AL300" s="51"/>
      <c r="AM300" s="11" t="s">
        <v>28</v>
      </c>
      <c r="AN300" s="11"/>
      <c r="AO300" s="11"/>
      <c r="AP300" s="11" t="str">
        <f>IF(Z300&lt;AJ300,"O.K.","N.G.")</f>
        <v>O.K.</v>
      </c>
      <c r="AQ300" s="11"/>
      <c r="AR300" s="11"/>
      <c r="AS300" s="11"/>
      <c r="AU300" s="221">
        <f>IF(AG247&lt;=0.04,2,IF(AG247&lt;=0.075,3,4))</f>
        <v>2</v>
      </c>
      <c r="AV300" s="222"/>
      <c r="AW300" s="223"/>
      <c r="AX300" s="43" t="s">
        <v>4</v>
      </c>
      <c r="AY300" s="44"/>
      <c r="AZ300" s="45"/>
      <c r="BA300" s="43" t="s">
        <v>5</v>
      </c>
      <c r="BB300" s="44"/>
      <c r="BC300" s="45"/>
      <c r="BD300" s="43" t="s">
        <v>6</v>
      </c>
      <c r="BE300" s="44"/>
      <c r="BF300" s="45"/>
      <c r="BG300" s="43" t="s">
        <v>7</v>
      </c>
      <c r="BH300" s="44"/>
      <c r="BI300" s="45"/>
      <c r="BJ300" s="43" t="s">
        <v>88</v>
      </c>
      <c r="BK300" s="44"/>
      <c r="BL300" s="45"/>
      <c r="BM300" s="224" t="s">
        <v>8</v>
      </c>
      <c r="BN300" s="225"/>
      <c r="BO300" s="226"/>
      <c r="BP300" s="43" t="s">
        <v>9</v>
      </c>
      <c r="BQ300" s="44"/>
      <c r="BR300" s="45"/>
      <c r="BS300" s="43" t="s">
        <v>10</v>
      </c>
      <c r="BT300" s="44"/>
      <c r="BU300" s="45"/>
      <c r="BV300" s="43" t="s">
        <v>11</v>
      </c>
      <c r="BW300" s="44"/>
      <c r="BX300" s="45"/>
      <c r="BY300" s="224" t="s">
        <v>12</v>
      </c>
      <c r="BZ300" s="225"/>
      <c r="CA300" s="226"/>
      <c r="CB300" s="43" t="s">
        <v>13</v>
      </c>
      <c r="CC300" s="44"/>
      <c r="CD300" s="45"/>
      <c r="CE300" s="43" t="s">
        <v>14</v>
      </c>
      <c r="CF300" s="44"/>
      <c r="CG300" s="45"/>
      <c r="CH300" s="224" t="s">
        <v>15</v>
      </c>
      <c r="CI300" s="225"/>
      <c r="CJ300" s="226"/>
    </row>
    <row r="301" spans="1:88" ht="18" customHeight="1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U301" s="36">
        <v>40</v>
      </c>
      <c r="AV301" s="37"/>
      <c r="AW301" s="38"/>
      <c r="AX301" s="36">
        <v>80</v>
      </c>
      <c r="AY301" s="37"/>
      <c r="AZ301" s="38"/>
      <c r="BA301" s="36">
        <f>AX301</f>
        <v>80</v>
      </c>
      <c r="BB301" s="37"/>
      <c r="BC301" s="38"/>
      <c r="BD301" s="36">
        <f>AX301</f>
        <v>80</v>
      </c>
      <c r="BE301" s="37"/>
      <c r="BF301" s="38"/>
      <c r="BG301" s="36">
        <v>80</v>
      </c>
      <c r="BH301" s="37"/>
      <c r="BI301" s="38"/>
      <c r="BJ301" s="36">
        <v>105</v>
      </c>
      <c r="BK301" s="37"/>
      <c r="BL301" s="38"/>
      <c r="BM301" s="36">
        <v>105</v>
      </c>
      <c r="BN301" s="37"/>
      <c r="BO301" s="38"/>
      <c r="BP301" s="36">
        <v>120</v>
      </c>
      <c r="BQ301" s="37"/>
      <c r="BR301" s="38"/>
      <c r="BS301" s="36">
        <f>BP301</f>
        <v>120</v>
      </c>
      <c r="BT301" s="37"/>
      <c r="BU301" s="38"/>
      <c r="BV301" s="36">
        <f>BP301</f>
        <v>120</v>
      </c>
      <c r="BW301" s="37"/>
      <c r="BX301" s="38"/>
      <c r="BY301" s="36">
        <v>120</v>
      </c>
      <c r="BZ301" s="37"/>
      <c r="CA301" s="38"/>
      <c r="CB301" s="36">
        <v>145</v>
      </c>
      <c r="CC301" s="37"/>
      <c r="CD301" s="38"/>
      <c r="CE301" s="36">
        <f>CB301</f>
        <v>145</v>
      </c>
      <c r="CF301" s="37"/>
      <c r="CG301" s="38"/>
      <c r="CH301" s="36">
        <v>145</v>
      </c>
      <c r="CI301" s="37"/>
      <c r="CJ301" s="38"/>
    </row>
    <row r="302" spans="1:88" ht="18" customHeight="1">
      <c r="A302" s="11"/>
      <c r="B302" s="11" t="s">
        <v>60</v>
      </c>
      <c r="C302" s="11"/>
      <c r="D302" s="11"/>
      <c r="E302" s="11"/>
      <c r="F302" s="11"/>
      <c r="G302" s="11"/>
      <c r="H302" s="11"/>
      <c r="I302" s="11"/>
      <c r="J302" s="11"/>
      <c r="K302" s="227"/>
      <c r="L302" s="11"/>
      <c r="M302" s="11"/>
      <c r="N302" s="11"/>
      <c r="O302" s="11"/>
      <c r="P302" s="11"/>
      <c r="Q302" s="11"/>
      <c r="R302" s="11"/>
      <c r="S302" s="11"/>
      <c r="T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U302" s="228" t="s">
        <v>16</v>
      </c>
      <c r="AV302" s="229"/>
      <c r="AW302" s="230"/>
      <c r="AX302" s="36">
        <v>75</v>
      </c>
      <c r="AY302" s="37"/>
      <c r="AZ302" s="38"/>
      <c r="BA302" s="36">
        <f>AX302</f>
        <v>75</v>
      </c>
      <c r="BB302" s="37"/>
      <c r="BC302" s="38"/>
      <c r="BD302" s="36">
        <f>AX302</f>
        <v>75</v>
      </c>
      <c r="BE302" s="37"/>
      <c r="BF302" s="38"/>
      <c r="BG302" s="36">
        <v>80</v>
      </c>
      <c r="BH302" s="37"/>
      <c r="BI302" s="38"/>
      <c r="BJ302" s="36">
        <v>100</v>
      </c>
      <c r="BK302" s="37"/>
      <c r="BL302" s="38"/>
      <c r="BM302" s="36">
        <v>105</v>
      </c>
      <c r="BN302" s="37"/>
      <c r="BO302" s="38"/>
      <c r="BP302" s="36">
        <v>115</v>
      </c>
      <c r="BQ302" s="37"/>
      <c r="BR302" s="38"/>
      <c r="BS302" s="36">
        <f>BP302</f>
        <v>115</v>
      </c>
      <c r="BT302" s="37"/>
      <c r="BU302" s="38"/>
      <c r="BV302" s="36">
        <f>BP302</f>
        <v>115</v>
      </c>
      <c r="BW302" s="37"/>
      <c r="BX302" s="38"/>
      <c r="BY302" s="36">
        <v>120</v>
      </c>
      <c r="BZ302" s="37"/>
      <c r="CA302" s="38"/>
      <c r="CB302" s="36">
        <v>140</v>
      </c>
      <c r="CC302" s="37"/>
      <c r="CD302" s="38"/>
      <c r="CE302" s="36">
        <f>CB302</f>
        <v>140</v>
      </c>
      <c r="CF302" s="37"/>
      <c r="CG302" s="38"/>
      <c r="CH302" s="36">
        <v>145</v>
      </c>
      <c r="CI302" s="37"/>
      <c r="CJ302" s="38"/>
    </row>
    <row r="303" spans="1:88" ht="18" customHeight="1">
      <c r="A303" s="11"/>
      <c r="B303" s="11"/>
      <c r="C303" s="11" t="s">
        <v>289</v>
      </c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U303" s="228" t="s">
        <v>17</v>
      </c>
      <c r="AV303" s="229"/>
      <c r="AW303" s="230"/>
      <c r="AX303" s="36">
        <v>75</v>
      </c>
      <c r="AY303" s="37"/>
      <c r="AZ303" s="38"/>
      <c r="BA303" s="36">
        <f>AX303</f>
        <v>75</v>
      </c>
      <c r="BB303" s="37"/>
      <c r="BC303" s="38"/>
      <c r="BD303" s="36">
        <f>AX303</f>
        <v>75</v>
      </c>
      <c r="BE303" s="37"/>
      <c r="BF303" s="38"/>
      <c r="BG303" s="36">
        <v>80</v>
      </c>
      <c r="BH303" s="37"/>
      <c r="BI303" s="38"/>
      <c r="BJ303" s="36">
        <v>100</v>
      </c>
      <c r="BK303" s="37"/>
      <c r="BL303" s="38"/>
      <c r="BM303" s="36">
        <v>105</v>
      </c>
      <c r="BN303" s="37"/>
      <c r="BO303" s="38"/>
      <c r="BP303" s="36">
        <v>110</v>
      </c>
      <c r="BQ303" s="37"/>
      <c r="BR303" s="38"/>
      <c r="BS303" s="36">
        <f>BP303</f>
        <v>110</v>
      </c>
      <c r="BT303" s="37"/>
      <c r="BU303" s="38"/>
      <c r="BV303" s="36">
        <f>BP303</f>
        <v>110</v>
      </c>
      <c r="BW303" s="37"/>
      <c r="BX303" s="38"/>
      <c r="BY303" s="36">
        <v>120</v>
      </c>
      <c r="BZ303" s="37"/>
      <c r="CA303" s="38"/>
      <c r="CB303" s="36">
        <v>135</v>
      </c>
      <c r="CC303" s="37"/>
      <c r="CD303" s="38"/>
      <c r="CE303" s="36">
        <f>CB303</f>
        <v>135</v>
      </c>
      <c r="CF303" s="37"/>
      <c r="CG303" s="38"/>
      <c r="CH303" s="36">
        <v>145</v>
      </c>
      <c r="CI303" s="37"/>
      <c r="CJ303" s="38"/>
    </row>
    <row r="304" spans="1:57" ht="18" customHeight="1">
      <c r="A304" s="11"/>
      <c r="B304" s="11"/>
      <c r="C304" s="11"/>
      <c r="D304" s="11" t="s">
        <v>79</v>
      </c>
      <c r="E304" s="51">
        <v>0.65</v>
      </c>
      <c r="F304" s="51"/>
      <c r="G304" s="51"/>
      <c r="H304" s="11" t="s">
        <v>83</v>
      </c>
      <c r="I304" s="11" t="s">
        <v>85</v>
      </c>
      <c r="J304" s="219">
        <v>0</v>
      </c>
      <c r="K304" s="51"/>
      <c r="L304" s="11" t="s">
        <v>81</v>
      </c>
      <c r="M304" s="220">
        <f>IF((AG254+AG255)&gt;=0,C264+1,C267+1)</f>
        <v>6</v>
      </c>
      <c r="N304" s="51"/>
      <c r="O304" s="11" t="s">
        <v>290</v>
      </c>
      <c r="P304" s="11" t="s">
        <v>78</v>
      </c>
      <c r="Q304" s="51">
        <v>0.13</v>
      </c>
      <c r="R304" s="51"/>
      <c r="S304" s="51"/>
      <c r="T304" s="11" t="s">
        <v>83</v>
      </c>
      <c r="U304" s="11" t="s">
        <v>85</v>
      </c>
      <c r="V304" s="219">
        <v>0</v>
      </c>
      <c r="W304" s="51"/>
      <c r="X304" s="11" t="s">
        <v>81</v>
      </c>
      <c r="Y304" s="220">
        <f>M304</f>
        <v>6</v>
      </c>
      <c r="Z304" s="51"/>
      <c r="AA304" s="11" t="s">
        <v>89</v>
      </c>
      <c r="AB304" s="11" t="s">
        <v>78</v>
      </c>
      <c r="AC304" s="219">
        <v>1</v>
      </c>
      <c r="AD304" s="51"/>
      <c r="AE304" s="11" t="s">
        <v>79</v>
      </c>
      <c r="AF304" s="51">
        <v>1</v>
      </c>
      <c r="AG304" s="51"/>
      <c r="AH304" s="51"/>
      <c r="AI304" s="5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U304" s="13" t="s">
        <v>33</v>
      </c>
      <c r="AV304" s="13"/>
      <c r="AW304" s="13"/>
      <c r="AX304" s="13"/>
      <c r="AY304" s="13"/>
      <c r="AZ304" s="13"/>
      <c r="BA304" s="13"/>
      <c r="BB304" s="13"/>
      <c r="BC304" s="13"/>
      <c r="BD304" s="13"/>
      <c r="BE304" s="13"/>
    </row>
    <row r="305" spans="1:88" ht="18" customHeight="1">
      <c r="A305" s="11"/>
      <c r="B305" s="11"/>
      <c r="C305" s="11"/>
      <c r="D305" s="11" t="s">
        <v>34</v>
      </c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231"/>
      <c r="AU305" s="36">
        <f>IF(AG246&lt;=0.04,2,IF(AG246&lt;=0.075,3,4))</f>
        <v>2</v>
      </c>
      <c r="AV305" s="37"/>
      <c r="AW305" s="38"/>
      <c r="AX305" s="43" t="s">
        <v>4</v>
      </c>
      <c r="AY305" s="44"/>
      <c r="AZ305" s="45"/>
      <c r="BA305" s="43" t="s">
        <v>5</v>
      </c>
      <c r="BB305" s="44"/>
      <c r="BC305" s="45"/>
      <c r="BD305" s="43" t="s">
        <v>6</v>
      </c>
      <c r="BE305" s="44"/>
      <c r="BF305" s="45"/>
      <c r="BG305" s="43" t="s">
        <v>7</v>
      </c>
      <c r="BH305" s="44"/>
      <c r="BI305" s="45"/>
      <c r="BJ305" s="43" t="s">
        <v>88</v>
      </c>
      <c r="BK305" s="44"/>
      <c r="BL305" s="45"/>
      <c r="BM305" s="224" t="s">
        <v>8</v>
      </c>
      <c r="BN305" s="225"/>
      <c r="BO305" s="226"/>
      <c r="BP305" s="43" t="s">
        <v>9</v>
      </c>
      <c r="BQ305" s="44"/>
      <c r="BR305" s="45"/>
      <c r="BS305" s="43" t="s">
        <v>10</v>
      </c>
      <c r="BT305" s="44"/>
      <c r="BU305" s="45"/>
      <c r="BV305" s="43" t="s">
        <v>11</v>
      </c>
      <c r="BW305" s="44"/>
      <c r="BX305" s="45"/>
      <c r="BY305" s="224" t="s">
        <v>12</v>
      </c>
      <c r="BZ305" s="225"/>
      <c r="CA305" s="226"/>
      <c r="CB305" s="43" t="s">
        <v>13</v>
      </c>
      <c r="CC305" s="44"/>
      <c r="CD305" s="45"/>
      <c r="CE305" s="43" t="s">
        <v>14</v>
      </c>
      <c r="CF305" s="44"/>
      <c r="CG305" s="45"/>
      <c r="CH305" s="224" t="s">
        <v>15</v>
      </c>
      <c r="CI305" s="225"/>
      <c r="CJ305" s="226"/>
    </row>
    <row r="306" spans="1:88" ht="18" customHeight="1">
      <c r="A306" s="11"/>
      <c r="B306" s="11"/>
      <c r="C306" s="11"/>
      <c r="D306" s="11" t="s">
        <v>18</v>
      </c>
      <c r="E306" s="11"/>
      <c r="F306" s="11"/>
      <c r="G306" s="11"/>
      <c r="H306" s="11" t="s">
        <v>19</v>
      </c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231"/>
      <c r="AU306" s="36">
        <v>40</v>
      </c>
      <c r="AV306" s="37"/>
      <c r="AW306" s="38"/>
      <c r="AX306" s="36">
        <v>140</v>
      </c>
      <c r="AY306" s="37"/>
      <c r="AZ306" s="38"/>
      <c r="BA306" s="36">
        <f>AX306</f>
        <v>140</v>
      </c>
      <c r="BB306" s="37"/>
      <c r="BC306" s="38"/>
      <c r="BD306" s="36">
        <f>AX306</f>
        <v>140</v>
      </c>
      <c r="BE306" s="37"/>
      <c r="BF306" s="38"/>
      <c r="BG306" s="36">
        <v>140</v>
      </c>
      <c r="BH306" s="37"/>
      <c r="BI306" s="38"/>
      <c r="BJ306" s="36">
        <v>185</v>
      </c>
      <c r="BK306" s="37"/>
      <c r="BL306" s="38"/>
      <c r="BM306" s="36">
        <f>BJ306</f>
        <v>185</v>
      </c>
      <c r="BN306" s="37"/>
      <c r="BO306" s="38"/>
      <c r="BP306" s="36">
        <v>210</v>
      </c>
      <c r="BQ306" s="37"/>
      <c r="BR306" s="38"/>
      <c r="BS306" s="36">
        <f>BP306</f>
        <v>210</v>
      </c>
      <c r="BT306" s="37"/>
      <c r="BU306" s="38"/>
      <c r="BV306" s="36">
        <f>BP306</f>
        <v>210</v>
      </c>
      <c r="BW306" s="37"/>
      <c r="BX306" s="38"/>
      <c r="BY306" s="36">
        <v>210</v>
      </c>
      <c r="BZ306" s="37"/>
      <c r="CA306" s="38"/>
      <c r="CB306" s="36">
        <v>255</v>
      </c>
      <c r="CC306" s="37"/>
      <c r="CD306" s="38"/>
      <c r="CE306" s="36">
        <f>CB306</f>
        <v>255</v>
      </c>
      <c r="CF306" s="37"/>
      <c r="CG306" s="38"/>
      <c r="CH306" s="36">
        <f>CE306</f>
        <v>255</v>
      </c>
      <c r="CI306" s="37"/>
      <c r="CJ306" s="38"/>
    </row>
    <row r="307" spans="1:88" ht="18" customHeight="1">
      <c r="A307" s="11"/>
      <c r="B307" s="11"/>
      <c r="C307" s="11"/>
      <c r="D307" s="11"/>
      <c r="E307" s="11"/>
      <c r="F307" s="11"/>
      <c r="G307" s="11"/>
      <c r="H307" s="11" t="s">
        <v>20</v>
      </c>
      <c r="I307" s="11"/>
      <c r="J307" s="11"/>
      <c r="K307" s="11"/>
      <c r="L307" s="11"/>
      <c r="M307" s="11"/>
      <c r="N307" s="11"/>
      <c r="O307" s="11"/>
      <c r="P307" s="11"/>
      <c r="Q307" s="11" t="s">
        <v>21</v>
      </c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231"/>
      <c r="AU307" s="228" t="s">
        <v>16</v>
      </c>
      <c r="AV307" s="229"/>
      <c r="AW307" s="230"/>
      <c r="AX307" s="36">
        <v>125</v>
      </c>
      <c r="AY307" s="37"/>
      <c r="AZ307" s="38"/>
      <c r="BA307" s="36">
        <f>AX307</f>
        <v>125</v>
      </c>
      <c r="BB307" s="37"/>
      <c r="BC307" s="38"/>
      <c r="BD307" s="36">
        <f>AX307</f>
        <v>125</v>
      </c>
      <c r="BE307" s="37"/>
      <c r="BF307" s="38"/>
      <c r="BG307" s="36">
        <v>140</v>
      </c>
      <c r="BH307" s="37"/>
      <c r="BI307" s="38"/>
      <c r="BJ307" s="36">
        <v>175</v>
      </c>
      <c r="BK307" s="37"/>
      <c r="BL307" s="38"/>
      <c r="BM307" s="36">
        <f>BM306</f>
        <v>185</v>
      </c>
      <c r="BN307" s="37"/>
      <c r="BO307" s="38"/>
      <c r="BP307" s="36">
        <v>195</v>
      </c>
      <c r="BQ307" s="37"/>
      <c r="BR307" s="38"/>
      <c r="BS307" s="36">
        <f>BP307</f>
        <v>195</v>
      </c>
      <c r="BT307" s="37"/>
      <c r="BU307" s="38"/>
      <c r="BV307" s="36">
        <f>BP307</f>
        <v>195</v>
      </c>
      <c r="BW307" s="37"/>
      <c r="BX307" s="38"/>
      <c r="BY307" s="36">
        <v>210</v>
      </c>
      <c r="BZ307" s="37"/>
      <c r="CA307" s="38"/>
      <c r="CB307" s="36">
        <v>245</v>
      </c>
      <c r="CC307" s="37"/>
      <c r="CD307" s="38"/>
      <c r="CE307" s="36">
        <f>CB307</f>
        <v>245</v>
      </c>
      <c r="CF307" s="37"/>
      <c r="CG307" s="38"/>
      <c r="CH307" s="36">
        <f>CH306</f>
        <v>255</v>
      </c>
      <c r="CI307" s="37"/>
      <c r="CJ307" s="38"/>
    </row>
    <row r="308" spans="1:88" ht="18" customHeight="1">
      <c r="A308" s="11"/>
      <c r="B308" s="11"/>
      <c r="C308" s="11"/>
      <c r="D308" s="11"/>
      <c r="E308" s="11"/>
      <c r="F308" s="11"/>
      <c r="G308" s="11"/>
      <c r="H308" s="11" t="s">
        <v>35</v>
      </c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U308" s="228" t="s">
        <v>17</v>
      </c>
      <c r="AV308" s="229"/>
      <c r="AW308" s="230"/>
      <c r="AX308" s="36">
        <v>125</v>
      </c>
      <c r="AY308" s="37"/>
      <c r="AZ308" s="38"/>
      <c r="BA308" s="36">
        <f>AX308</f>
        <v>125</v>
      </c>
      <c r="BB308" s="37"/>
      <c r="BC308" s="38"/>
      <c r="BD308" s="36">
        <f>AX308</f>
        <v>125</v>
      </c>
      <c r="BE308" s="37"/>
      <c r="BF308" s="38"/>
      <c r="BG308" s="36">
        <v>140</v>
      </c>
      <c r="BH308" s="37"/>
      <c r="BI308" s="38"/>
      <c r="BJ308" s="36">
        <v>175</v>
      </c>
      <c r="BK308" s="37"/>
      <c r="BL308" s="38"/>
      <c r="BM308" s="36">
        <f>BM306</f>
        <v>185</v>
      </c>
      <c r="BN308" s="37"/>
      <c r="BO308" s="38"/>
      <c r="BP308" s="36">
        <v>190</v>
      </c>
      <c r="BQ308" s="37"/>
      <c r="BR308" s="38"/>
      <c r="BS308" s="36">
        <f>BP308</f>
        <v>190</v>
      </c>
      <c r="BT308" s="37"/>
      <c r="BU308" s="38"/>
      <c r="BV308" s="36">
        <f>BP308</f>
        <v>190</v>
      </c>
      <c r="BW308" s="37"/>
      <c r="BX308" s="38"/>
      <c r="BY308" s="36">
        <v>210</v>
      </c>
      <c r="BZ308" s="37"/>
      <c r="CA308" s="38"/>
      <c r="CB308" s="36">
        <v>240</v>
      </c>
      <c r="CC308" s="37"/>
      <c r="CD308" s="38"/>
      <c r="CE308" s="36">
        <f>CB308</f>
        <v>240</v>
      </c>
      <c r="CF308" s="37"/>
      <c r="CG308" s="38"/>
      <c r="CH308" s="36">
        <f>CH306</f>
        <v>255</v>
      </c>
      <c r="CI308" s="37"/>
      <c r="CJ308" s="38"/>
    </row>
    <row r="309" spans="1:57" ht="18" customHeight="1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 t="s">
        <v>36</v>
      </c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4"/>
      <c r="AU309" s="13" t="s">
        <v>37</v>
      </c>
      <c r="AV309" s="13"/>
      <c r="AW309" s="13"/>
      <c r="AX309" s="13"/>
      <c r="AY309" s="13"/>
      <c r="AZ309" s="13"/>
      <c r="BA309" s="13"/>
      <c r="BB309" s="13"/>
      <c r="BC309" s="13"/>
      <c r="BD309" s="13"/>
      <c r="BE309" s="13"/>
    </row>
    <row r="310" spans="1:88" ht="18" customHeight="1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5"/>
      <c r="AU310" s="36">
        <f>IF(AG245&lt;=0.04,2,IF(AG245&lt;=0.075,3,4))</f>
        <v>2</v>
      </c>
      <c r="AV310" s="37"/>
      <c r="AW310" s="38"/>
      <c r="AX310" s="43" t="s">
        <v>4</v>
      </c>
      <c r="AY310" s="44"/>
      <c r="AZ310" s="45"/>
      <c r="BA310" s="43" t="s">
        <v>5</v>
      </c>
      <c r="BB310" s="44"/>
      <c r="BC310" s="45"/>
      <c r="BD310" s="43" t="s">
        <v>6</v>
      </c>
      <c r="BE310" s="44"/>
      <c r="BF310" s="45"/>
      <c r="BG310" s="43" t="s">
        <v>7</v>
      </c>
      <c r="BH310" s="44"/>
      <c r="BI310" s="45"/>
      <c r="BJ310" s="43" t="s">
        <v>88</v>
      </c>
      <c r="BK310" s="44"/>
      <c r="BL310" s="45"/>
      <c r="BM310" s="224" t="s">
        <v>8</v>
      </c>
      <c r="BN310" s="225"/>
      <c r="BO310" s="226"/>
      <c r="BP310" s="43" t="s">
        <v>9</v>
      </c>
      <c r="BQ310" s="44"/>
      <c r="BR310" s="45"/>
      <c r="BS310" s="43" t="s">
        <v>10</v>
      </c>
      <c r="BT310" s="44"/>
      <c r="BU310" s="45"/>
      <c r="BV310" s="43" t="s">
        <v>11</v>
      </c>
      <c r="BW310" s="44"/>
      <c r="BX310" s="45"/>
      <c r="BY310" s="224" t="s">
        <v>12</v>
      </c>
      <c r="BZ310" s="225"/>
      <c r="CA310" s="226"/>
      <c r="CB310" s="43" t="s">
        <v>13</v>
      </c>
      <c r="CC310" s="44"/>
      <c r="CD310" s="45"/>
      <c r="CE310" s="43" t="s">
        <v>14</v>
      </c>
      <c r="CF310" s="44"/>
      <c r="CG310" s="45"/>
      <c r="CH310" s="224" t="s">
        <v>15</v>
      </c>
      <c r="CI310" s="225"/>
      <c r="CJ310" s="226"/>
    </row>
    <row r="311" spans="1:88" ht="18" customHeight="1">
      <c r="A311" s="11"/>
      <c r="B311" s="11"/>
      <c r="C311" s="11" t="s">
        <v>22</v>
      </c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 t="s">
        <v>85</v>
      </c>
      <c r="S311" s="51" t="str">
        <f>AG236</f>
        <v>SMA490</v>
      </c>
      <c r="T311" s="51"/>
      <c r="U311" s="51"/>
      <c r="V311" s="51"/>
      <c r="W311" s="11" t="s">
        <v>23</v>
      </c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232"/>
      <c r="AU311" s="36">
        <v>40</v>
      </c>
      <c r="AV311" s="37"/>
      <c r="AW311" s="38"/>
      <c r="AX311" s="36">
        <v>140</v>
      </c>
      <c r="AY311" s="37"/>
      <c r="AZ311" s="38"/>
      <c r="BA311" s="36">
        <f>AX311</f>
        <v>140</v>
      </c>
      <c r="BB311" s="37"/>
      <c r="BC311" s="38"/>
      <c r="BD311" s="36">
        <f>AX311</f>
        <v>140</v>
      </c>
      <c r="BE311" s="37"/>
      <c r="BF311" s="38"/>
      <c r="BG311" s="36">
        <v>140</v>
      </c>
      <c r="BH311" s="37"/>
      <c r="BI311" s="38"/>
      <c r="BJ311" s="36">
        <v>185</v>
      </c>
      <c r="BK311" s="37"/>
      <c r="BL311" s="38"/>
      <c r="BM311" s="36">
        <f>BJ311</f>
        <v>185</v>
      </c>
      <c r="BN311" s="37"/>
      <c r="BO311" s="38"/>
      <c r="BP311" s="36">
        <v>210</v>
      </c>
      <c r="BQ311" s="37"/>
      <c r="BR311" s="38"/>
      <c r="BS311" s="36">
        <f>BP311</f>
        <v>210</v>
      </c>
      <c r="BT311" s="37"/>
      <c r="BU311" s="38"/>
      <c r="BV311" s="36">
        <f>BP311</f>
        <v>210</v>
      </c>
      <c r="BW311" s="37"/>
      <c r="BX311" s="38"/>
      <c r="BY311" s="36">
        <v>210</v>
      </c>
      <c r="BZ311" s="37"/>
      <c r="CA311" s="38"/>
      <c r="CB311" s="36">
        <v>255</v>
      </c>
      <c r="CC311" s="37"/>
      <c r="CD311" s="38"/>
      <c r="CE311" s="36">
        <f>CB311</f>
        <v>255</v>
      </c>
      <c r="CF311" s="37"/>
      <c r="CG311" s="38"/>
      <c r="CH311" s="36">
        <f>CE311</f>
        <v>255</v>
      </c>
      <c r="CI311" s="37"/>
      <c r="CJ311" s="38"/>
    </row>
    <row r="312" spans="1:88" ht="18" customHeight="1">
      <c r="A312" s="11"/>
      <c r="B312" s="11"/>
      <c r="C312" s="11"/>
      <c r="D312" s="11"/>
      <c r="E312" s="11" t="s">
        <v>90</v>
      </c>
      <c r="F312" s="11"/>
      <c r="G312" s="11"/>
      <c r="H312" s="219">
        <f>HLOOKUP(S311,AX305:CJ308,AU305,FALSE)</f>
        <v>210</v>
      </c>
      <c r="I312" s="219"/>
      <c r="J312" s="219"/>
      <c r="K312" s="219"/>
      <c r="L312" s="11" t="s">
        <v>28</v>
      </c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U312" s="228" t="s">
        <v>16</v>
      </c>
      <c r="AV312" s="229"/>
      <c r="AW312" s="230"/>
      <c r="AX312" s="36">
        <v>125</v>
      </c>
      <c r="AY312" s="37"/>
      <c r="AZ312" s="38"/>
      <c r="BA312" s="36">
        <f>AX312</f>
        <v>125</v>
      </c>
      <c r="BB312" s="37"/>
      <c r="BC312" s="38"/>
      <c r="BD312" s="36">
        <f>AX312</f>
        <v>125</v>
      </c>
      <c r="BE312" s="37"/>
      <c r="BF312" s="38"/>
      <c r="BG312" s="36">
        <v>140</v>
      </c>
      <c r="BH312" s="37"/>
      <c r="BI312" s="38"/>
      <c r="BJ312" s="36">
        <v>175</v>
      </c>
      <c r="BK312" s="37"/>
      <c r="BL312" s="38"/>
      <c r="BM312" s="36">
        <f>BM311</f>
        <v>185</v>
      </c>
      <c r="BN312" s="37"/>
      <c r="BO312" s="38"/>
      <c r="BP312" s="36">
        <v>195</v>
      </c>
      <c r="BQ312" s="37"/>
      <c r="BR312" s="38"/>
      <c r="BS312" s="36">
        <f>BP312</f>
        <v>195</v>
      </c>
      <c r="BT312" s="37"/>
      <c r="BU312" s="38"/>
      <c r="BV312" s="36">
        <f>BP312</f>
        <v>195</v>
      </c>
      <c r="BW312" s="37"/>
      <c r="BX312" s="38"/>
      <c r="BY312" s="36">
        <v>210</v>
      </c>
      <c r="BZ312" s="37"/>
      <c r="CA312" s="38"/>
      <c r="CB312" s="36">
        <v>245</v>
      </c>
      <c r="CC312" s="37"/>
      <c r="CD312" s="38"/>
      <c r="CE312" s="36">
        <f>CB312</f>
        <v>245</v>
      </c>
      <c r="CF312" s="37"/>
      <c r="CG312" s="38"/>
      <c r="CH312" s="36">
        <f>CH311</f>
        <v>255</v>
      </c>
      <c r="CI312" s="37"/>
      <c r="CJ312" s="38"/>
    </row>
    <row r="313" spans="1:88" ht="18" customHeight="1">
      <c r="A313" s="11"/>
      <c r="B313" s="11"/>
      <c r="C313" s="11" t="s">
        <v>24</v>
      </c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 t="s">
        <v>85</v>
      </c>
      <c r="S313" s="51" t="str">
        <f>S311</f>
        <v>SMA490</v>
      </c>
      <c r="T313" s="51"/>
      <c r="U313" s="51"/>
      <c r="V313" s="51"/>
      <c r="W313" s="11" t="s">
        <v>23</v>
      </c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U313" s="228" t="s">
        <v>17</v>
      </c>
      <c r="AV313" s="229"/>
      <c r="AW313" s="230"/>
      <c r="AX313" s="36">
        <v>125</v>
      </c>
      <c r="AY313" s="37"/>
      <c r="AZ313" s="38"/>
      <c r="BA313" s="36">
        <f>AX313</f>
        <v>125</v>
      </c>
      <c r="BB313" s="37"/>
      <c r="BC313" s="38"/>
      <c r="BD313" s="36">
        <f>AX313</f>
        <v>125</v>
      </c>
      <c r="BE313" s="37"/>
      <c r="BF313" s="38"/>
      <c r="BG313" s="36">
        <v>140</v>
      </c>
      <c r="BH313" s="37"/>
      <c r="BI313" s="38"/>
      <c r="BJ313" s="36">
        <v>175</v>
      </c>
      <c r="BK313" s="37"/>
      <c r="BL313" s="38"/>
      <c r="BM313" s="36">
        <f>BM311</f>
        <v>185</v>
      </c>
      <c r="BN313" s="37"/>
      <c r="BO313" s="38"/>
      <c r="BP313" s="36">
        <v>190</v>
      </c>
      <c r="BQ313" s="37"/>
      <c r="BR313" s="38"/>
      <c r="BS313" s="36">
        <f>BP313</f>
        <v>190</v>
      </c>
      <c r="BT313" s="37"/>
      <c r="BU313" s="38"/>
      <c r="BV313" s="36">
        <f>BP313</f>
        <v>190</v>
      </c>
      <c r="BW313" s="37"/>
      <c r="BX313" s="38"/>
      <c r="BY313" s="36">
        <v>210</v>
      </c>
      <c r="BZ313" s="37"/>
      <c r="CA313" s="38"/>
      <c r="CB313" s="36">
        <v>240</v>
      </c>
      <c r="CC313" s="37"/>
      <c r="CD313" s="38"/>
      <c r="CE313" s="36">
        <f>CB313</f>
        <v>240</v>
      </c>
      <c r="CF313" s="37"/>
      <c r="CG313" s="38"/>
      <c r="CH313" s="36">
        <f>CH311</f>
        <v>255</v>
      </c>
      <c r="CI313" s="37"/>
      <c r="CJ313" s="38"/>
    </row>
    <row r="314" spans="1:57" ht="18" customHeight="1">
      <c r="A314" s="11"/>
      <c r="B314" s="11"/>
      <c r="C314" s="11"/>
      <c r="D314" s="11"/>
      <c r="E314" s="51" t="s">
        <v>38</v>
      </c>
      <c r="F314" s="51"/>
      <c r="G314" s="51"/>
      <c r="H314" s="51"/>
      <c r="I314" s="51"/>
      <c r="J314" s="233"/>
      <c r="K314" s="234" t="s">
        <v>91</v>
      </c>
      <c r="L314" s="234"/>
      <c r="M314" s="233"/>
      <c r="N314" s="233"/>
      <c r="O314" s="11"/>
      <c r="P314" s="51" t="s">
        <v>79</v>
      </c>
      <c r="Q314" s="11"/>
      <c r="R314" s="233"/>
      <c r="S314" s="233"/>
      <c r="T314" s="235">
        <f>(AG239+AM239)*1000</f>
        <v>2400</v>
      </c>
      <c r="U314" s="234"/>
      <c r="V314" s="234"/>
      <c r="W314" s="233"/>
      <c r="X314" s="233"/>
      <c r="Y314" s="233"/>
      <c r="Z314" s="233"/>
      <c r="AA314" s="51" t="s">
        <v>79</v>
      </c>
      <c r="AB314" s="51"/>
      <c r="AC314" s="219">
        <f>T314/(R315*U315*Y315)</f>
        <v>36.36363636363637</v>
      </c>
      <c r="AD314" s="219"/>
      <c r="AE314" s="219"/>
      <c r="AF314" s="51" t="s">
        <v>71</v>
      </c>
      <c r="AG314" s="5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U314" s="13" t="s">
        <v>39</v>
      </c>
      <c r="AV314" s="13"/>
      <c r="AW314" s="13"/>
      <c r="AX314" s="13"/>
      <c r="AY314" s="13"/>
      <c r="AZ314" s="13"/>
      <c r="BA314" s="13"/>
      <c r="BB314" s="13"/>
      <c r="BC314" s="13"/>
      <c r="BD314" s="13"/>
      <c r="BE314" s="13"/>
    </row>
    <row r="315" spans="1:88" ht="18" customHeight="1">
      <c r="A315" s="11"/>
      <c r="B315" s="11"/>
      <c r="C315" s="11"/>
      <c r="D315" s="11"/>
      <c r="E315" s="51"/>
      <c r="F315" s="51"/>
      <c r="G315" s="51"/>
      <c r="H315" s="51"/>
      <c r="I315" s="51"/>
      <c r="J315" s="236">
        <f>HLOOKUP(S313,AX315:CJ318,AU316,FALSE)</f>
        <v>22</v>
      </c>
      <c r="K315" s="237"/>
      <c r="L315" s="11" t="s">
        <v>92</v>
      </c>
      <c r="M315" s="11"/>
      <c r="N315" s="11"/>
      <c r="O315" s="11"/>
      <c r="P315" s="51"/>
      <c r="Q315" s="11"/>
      <c r="R315" s="236">
        <f>J315</f>
        <v>22</v>
      </c>
      <c r="S315" s="237"/>
      <c r="T315" s="11" t="s">
        <v>83</v>
      </c>
      <c r="U315" s="237">
        <f>AF304</f>
        <v>1</v>
      </c>
      <c r="V315" s="237"/>
      <c r="W315" s="237"/>
      <c r="X315" s="11" t="s">
        <v>83</v>
      </c>
      <c r="Y315" s="236">
        <f>C264+1</f>
        <v>3</v>
      </c>
      <c r="Z315" s="237"/>
      <c r="AA315" s="51"/>
      <c r="AB315" s="51"/>
      <c r="AC315" s="219"/>
      <c r="AD315" s="219"/>
      <c r="AE315" s="219"/>
      <c r="AF315" s="51"/>
      <c r="AG315" s="5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U315" s="36">
        <f>AU310</f>
        <v>2</v>
      </c>
      <c r="AV315" s="37"/>
      <c r="AW315" s="38"/>
      <c r="AX315" s="43" t="s">
        <v>4</v>
      </c>
      <c r="AY315" s="44"/>
      <c r="AZ315" s="45"/>
      <c r="BA315" s="46" t="s">
        <v>5</v>
      </c>
      <c r="BB315" s="47"/>
      <c r="BC315" s="48"/>
      <c r="BD315" s="43" t="s">
        <v>6</v>
      </c>
      <c r="BE315" s="44"/>
      <c r="BF315" s="45"/>
      <c r="BG315" s="43" t="s">
        <v>7</v>
      </c>
      <c r="BH315" s="44"/>
      <c r="BI315" s="45"/>
      <c r="BJ315" s="43" t="s">
        <v>88</v>
      </c>
      <c r="BK315" s="44"/>
      <c r="BL315" s="45"/>
      <c r="BM315" s="224" t="s">
        <v>8</v>
      </c>
      <c r="BN315" s="225"/>
      <c r="BO315" s="226"/>
      <c r="BP315" s="43" t="s">
        <v>9</v>
      </c>
      <c r="BQ315" s="44"/>
      <c r="BR315" s="45"/>
      <c r="BS315" s="43" t="s">
        <v>10</v>
      </c>
      <c r="BT315" s="44"/>
      <c r="BU315" s="45"/>
      <c r="BV315" s="43" t="s">
        <v>11</v>
      </c>
      <c r="BW315" s="44"/>
      <c r="BX315" s="45"/>
      <c r="BY315" s="224" t="s">
        <v>12</v>
      </c>
      <c r="BZ315" s="225"/>
      <c r="CA315" s="226"/>
      <c r="CB315" s="43" t="s">
        <v>13</v>
      </c>
      <c r="CC315" s="44"/>
      <c r="CD315" s="45"/>
      <c r="CE315" s="43" t="s">
        <v>14</v>
      </c>
      <c r="CF315" s="44"/>
      <c r="CG315" s="45"/>
      <c r="CH315" s="224" t="s">
        <v>15</v>
      </c>
      <c r="CI315" s="225"/>
      <c r="CJ315" s="226"/>
    </row>
    <row r="316" spans="1:88" ht="18" customHeight="1">
      <c r="A316" s="11"/>
      <c r="B316" s="11"/>
      <c r="C316" s="11"/>
      <c r="D316" s="11"/>
      <c r="E316" s="11"/>
      <c r="F316" s="11"/>
      <c r="G316" s="11" t="s">
        <v>25</v>
      </c>
      <c r="H316" s="11"/>
      <c r="I316" s="11"/>
      <c r="J316" s="11"/>
      <c r="K316" s="11"/>
      <c r="L316" s="11"/>
      <c r="M316" s="11"/>
      <c r="N316" s="11"/>
      <c r="O316" s="167">
        <f>HLOOKUP(S313,AX310:CJ313,AU310,FALSE)</f>
        <v>210</v>
      </c>
      <c r="P316" s="167"/>
      <c r="Q316" s="167"/>
      <c r="R316" s="167"/>
      <c r="S316" s="11" t="s">
        <v>28</v>
      </c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U316" s="36">
        <v>2</v>
      </c>
      <c r="AV316" s="37"/>
      <c r="AW316" s="38"/>
      <c r="AX316" s="34">
        <v>28</v>
      </c>
      <c r="AY316" s="34"/>
      <c r="AZ316" s="34"/>
      <c r="BA316" s="39">
        <f>AX316</f>
        <v>28</v>
      </c>
      <c r="BB316" s="39"/>
      <c r="BC316" s="39"/>
      <c r="BD316" s="34">
        <f>AX316</f>
        <v>28</v>
      </c>
      <c r="BE316" s="34"/>
      <c r="BF316" s="34"/>
      <c r="BG316" s="34">
        <f>BA316</f>
        <v>28</v>
      </c>
      <c r="BH316" s="34"/>
      <c r="BI316" s="34"/>
      <c r="BJ316" s="35">
        <v>24</v>
      </c>
      <c r="BK316" s="35"/>
      <c r="BL316" s="35"/>
      <c r="BM316" s="35">
        <f>BJ316</f>
        <v>24</v>
      </c>
      <c r="BN316" s="35"/>
      <c r="BO316" s="35"/>
      <c r="BP316" s="35">
        <v>22</v>
      </c>
      <c r="BQ316" s="35"/>
      <c r="BR316" s="35"/>
      <c r="BS316" s="35">
        <f>BP316</f>
        <v>22</v>
      </c>
      <c r="BT316" s="35"/>
      <c r="BU316" s="35"/>
      <c r="BV316" s="35">
        <f>BP316</f>
        <v>22</v>
      </c>
      <c r="BW316" s="35"/>
      <c r="BX316" s="35"/>
      <c r="BY316" s="34">
        <f>BP316</f>
        <v>22</v>
      </c>
      <c r="BZ316" s="34"/>
      <c r="CA316" s="34"/>
      <c r="CB316" s="34">
        <v>22</v>
      </c>
      <c r="CC316" s="34"/>
      <c r="CD316" s="34"/>
      <c r="CE316" s="34">
        <f>CB316</f>
        <v>22</v>
      </c>
      <c r="CF316" s="34"/>
      <c r="CG316" s="34"/>
      <c r="CH316" s="34">
        <f>CB316</f>
        <v>22</v>
      </c>
      <c r="CI316" s="34"/>
      <c r="CJ316" s="34"/>
    </row>
    <row r="317" spans="1:88" ht="18" customHeight="1">
      <c r="A317" s="11"/>
      <c r="B317" s="11"/>
      <c r="C317" s="11"/>
      <c r="D317" s="11"/>
      <c r="E317" s="233"/>
      <c r="F317" s="234" t="s">
        <v>91</v>
      </c>
      <c r="G317" s="234"/>
      <c r="H317" s="233"/>
      <c r="I317" s="11"/>
      <c r="J317" s="51" t="s">
        <v>93</v>
      </c>
      <c r="K317" s="51" t="s">
        <v>38</v>
      </c>
      <c r="L317" s="51"/>
      <c r="M317" s="51"/>
      <c r="N317" s="51"/>
      <c r="O317" s="51"/>
      <c r="P317" s="233"/>
      <c r="Q317" s="234" t="s">
        <v>91</v>
      </c>
      <c r="R317" s="234"/>
      <c r="S317" s="233"/>
      <c r="T317" s="11"/>
      <c r="U317" s="51" t="s">
        <v>79</v>
      </c>
      <c r="V317" s="233"/>
      <c r="W317" s="233"/>
      <c r="X317" s="235">
        <f>(AG239+AM239)*1000</f>
        <v>2400</v>
      </c>
      <c r="Y317" s="234"/>
      <c r="Z317" s="234"/>
      <c r="AA317" s="233"/>
      <c r="AB317" s="233"/>
      <c r="AC317" s="233"/>
      <c r="AD317" s="233"/>
      <c r="AE317" s="51" t="s">
        <v>79</v>
      </c>
      <c r="AF317" s="219">
        <f>X317/(V318*Y318*AC318)</f>
        <v>17.391304347826086</v>
      </c>
      <c r="AG317" s="219"/>
      <c r="AH317" s="219"/>
      <c r="AI317" s="51" t="s">
        <v>71</v>
      </c>
      <c r="AJ317" s="51"/>
      <c r="AK317" s="11"/>
      <c r="AL317" s="11"/>
      <c r="AM317" s="11"/>
      <c r="AN317" s="11"/>
      <c r="AO317" s="11"/>
      <c r="AP317" s="11"/>
      <c r="AQ317" s="11"/>
      <c r="AR317" s="11"/>
      <c r="AS317" s="11"/>
      <c r="AU317" s="36">
        <v>3</v>
      </c>
      <c r="AV317" s="37"/>
      <c r="AW317" s="38"/>
      <c r="AX317" s="40">
        <f>IF(AU315=2,2.6,2.1)</f>
        <v>2.6</v>
      </c>
      <c r="AY317" s="40"/>
      <c r="AZ317" s="40"/>
      <c r="BA317" s="42">
        <f>AX317</f>
        <v>2.6</v>
      </c>
      <c r="BB317" s="42"/>
      <c r="BC317" s="42"/>
      <c r="BD317" s="40">
        <f>AX317</f>
        <v>2.6</v>
      </c>
      <c r="BE317" s="40"/>
      <c r="BF317" s="40"/>
      <c r="BG317" s="40">
        <f>BA317</f>
        <v>2.6</v>
      </c>
      <c r="BH317" s="40"/>
      <c r="BI317" s="40"/>
      <c r="BJ317" s="41">
        <f>IF(AU315=2,3.9,3.5)</f>
        <v>3.9</v>
      </c>
      <c r="BK317" s="41"/>
      <c r="BL317" s="41"/>
      <c r="BM317" s="41">
        <f>BJ317</f>
        <v>3.9</v>
      </c>
      <c r="BN317" s="41"/>
      <c r="BO317" s="41"/>
      <c r="BP317" s="41">
        <f>IF(AU315=2,4.6,IF(AU315=3,4,3.7))</f>
        <v>4.6</v>
      </c>
      <c r="BQ317" s="41"/>
      <c r="BR317" s="41"/>
      <c r="BS317" s="41">
        <f>BP317</f>
        <v>4.6</v>
      </c>
      <c r="BT317" s="41"/>
      <c r="BU317" s="41"/>
      <c r="BV317" s="41">
        <f>BP317</f>
        <v>4.6</v>
      </c>
      <c r="BW317" s="41"/>
      <c r="BX317" s="41"/>
      <c r="BY317" s="40">
        <f>BP317</f>
        <v>4.6</v>
      </c>
      <c r="BZ317" s="40"/>
      <c r="CA317" s="40"/>
      <c r="CB317" s="40">
        <f>IF(AU315=2,6.9,IF(AU315=3,6.2,6))</f>
        <v>6.9</v>
      </c>
      <c r="CC317" s="40"/>
      <c r="CD317" s="40"/>
      <c r="CE317" s="40">
        <f>CB317</f>
        <v>6.9</v>
      </c>
      <c r="CF317" s="40"/>
      <c r="CG317" s="40"/>
      <c r="CH317" s="40">
        <f>CB317</f>
        <v>6.9</v>
      </c>
      <c r="CI317" s="40"/>
      <c r="CJ317" s="40"/>
    </row>
    <row r="318" spans="1:88" ht="18" customHeight="1">
      <c r="A318" s="11"/>
      <c r="B318" s="11"/>
      <c r="C318" s="11"/>
      <c r="D318" s="11"/>
      <c r="E318" s="236">
        <f>HLOOKUP(S313,AX315:CJ318,AU316,FALSE)</f>
        <v>22</v>
      </c>
      <c r="F318" s="237"/>
      <c r="G318" s="11" t="s">
        <v>92</v>
      </c>
      <c r="H318" s="11"/>
      <c r="I318" s="11"/>
      <c r="J318" s="51"/>
      <c r="K318" s="51"/>
      <c r="L318" s="51"/>
      <c r="M318" s="51"/>
      <c r="N318" s="51"/>
      <c r="O318" s="51"/>
      <c r="P318" s="236">
        <f>HLOOKUP(S313,AX315:CJ318,AU318,FALSE)</f>
        <v>46</v>
      </c>
      <c r="Q318" s="237"/>
      <c r="R318" s="11" t="s">
        <v>92</v>
      </c>
      <c r="S318" s="11"/>
      <c r="T318" s="11"/>
      <c r="U318" s="51"/>
      <c r="V318" s="236">
        <f>P318</f>
        <v>46</v>
      </c>
      <c r="W318" s="237"/>
      <c r="X318" s="11" t="s">
        <v>83</v>
      </c>
      <c r="Y318" s="237">
        <f>AF304</f>
        <v>1</v>
      </c>
      <c r="Z318" s="237"/>
      <c r="AA318" s="237"/>
      <c r="AB318" s="11" t="s">
        <v>83</v>
      </c>
      <c r="AC318" s="236">
        <f>C264+1</f>
        <v>3</v>
      </c>
      <c r="AD318" s="237"/>
      <c r="AE318" s="51"/>
      <c r="AF318" s="219"/>
      <c r="AG318" s="219"/>
      <c r="AH318" s="219"/>
      <c r="AI318" s="51"/>
      <c r="AJ318" s="51"/>
      <c r="AK318" s="11"/>
      <c r="AL318" s="11"/>
      <c r="AM318" s="11"/>
      <c r="AN318" s="11"/>
      <c r="AO318" s="11"/>
      <c r="AP318" s="11"/>
      <c r="AQ318" s="11"/>
      <c r="AR318" s="11"/>
      <c r="AS318" s="11"/>
      <c r="AU318" s="36">
        <v>4</v>
      </c>
      <c r="AV318" s="37"/>
      <c r="AW318" s="38"/>
      <c r="AX318" s="34">
        <f>IF(AU315=2,56,58)</f>
        <v>56</v>
      </c>
      <c r="AY318" s="34"/>
      <c r="AZ318" s="34"/>
      <c r="BA318" s="39">
        <f>AX318</f>
        <v>56</v>
      </c>
      <c r="BB318" s="39"/>
      <c r="BC318" s="39"/>
      <c r="BD318" s="34">
        <f>AX318</f>
        <v>56</v>
      </c>
      <c r="BE318" s="34"/>
      <c r="BF318" s="34"/>
      <c r="BG318" s="34">
        <f>BA318</f>
        <v>56</v>
      </c>
      <c r="BH318" s="34"/>
      <c r="BI318" s="34"/>
      <c r="BJ318" s="35">
        <f>IF(AU315=2,48,50)</f>
        <v>48</v>
      </c>
      <c r="BK318" s="35"/>
      <c r="BL318" s="35"/>
      <c r="BM318" s="35">
        <f>BJ318</f>
        <v>48</v>
      </c>
      <c r="BN318" s="35"/>
      <c r="BO318" s="35"/>
      <c r="BP318" s="35">
        <f>IF(AU315=2,46,IF(AU315=3,46,48))</f>
        <v>46</v>
      </c>
      <c r="BQ318" s="35"/>
      <c r="BR318" s="35"/>
      <c r="BS318" s="35">
        <f>BP318</f>
        <v>46</v>
      </c>
      <c r="BT318" s="35"/>
      <c r="BU318" s="35"/>
      <c r="BV318" s="35">
        <f>BP318</f>
        <v>46</v>
      </c>
      <c r="BW318" s="35"/>
      <c r="BX318" s="35"/>
      <c r="BY318" s="34">
        <f>BP318</f>
        <v>46</v>
      </c>
      <c r="BZ318" s="34"/>
      <c r="CA318" s="34"/>
      <c r="CB318" s="34">
        <f>IF(AU315=2,40,IF(AU315=3,42,42))</f>
        <v>40</v>
      </c>
      <c r="CC318" s="34"/>
      <c r="CD318" s="34"/>
      <c r="CE318" s="34">
        <f>CB318</f>
        <v>40</v>
      </c>
      <c r="CF318" s="34"/>
      <c r="CG318" s="34"/>
      <c r="CH318" s="34">
        <f>CB318</f>
        <v>40</v>
      </c>
      <c r="CI318" s="34"/>
      <c r="CJ318" s="34"/>
    </row>
    <row r="319" spans="1:55" ht="18" customHeight="1">
      <c r="A319" s="11"/>
      <c r="B319" s="11"/>
      <c r="C319" s="11"/>
      <c r="D319" s="11"/>
      <c r="E319" s="11"/>
      <c r="F319" s="11"/>
      <c r="G319" s="11" t="s">
        <v>25</v>
      </c>
      <c r="H319" s="11"/>
      <c r="I319" s="11"/>
      <c r="J319" s="11"/>
      <c r="K319" s="11"/>
      <c r="L319" s="11"/>
      <c r="M319" s="11"/>
      <c r="N319" s="11"/>
      <c r="O319" s="220">
        <f>O316</f>
        <v>210</v>
      </c>
      <c r="P319" s="51"/>
      <c r="Q319" s="51"/>
      <c r="R319" s="11" t="s">
        <v>72</v>
      </c>
      <c r="S319" s="220">
        <f>HLOOKUP(S313,AX315:CJ318,AU317,FALSE)</f>
        <v>4.6</v>
      </c>
      <c r="T319" s="51"/>
      <c r="U319" s="11" t="s">
        <v>85</v>
      </c>
      <c r="V319" s="11" t="s">
        <v>94</v>
      </c>
      <c r="W319" s="11"/>
      <c r="X319" s="11"/>
      <c r="Y319" s="11"/>
      <c r="Z319" s="11"/>
      <c r="AA319" s="11"/>
      <c r="AB319" s="238">
        <f>E318</f>
        <v>22</v>
      </c>
      <c r="AC319" s="9"/>
      <c r="AD319" s="11" t="s">
        <v>89</v>
      </c>
      <c r="AE319" s="11" t="s">
        <v>79</v>
      </c>
      <c r="AF319" s="167">
        <f>ROUND(O319-S319*(X317/(AG245*1000*AF304*(C264+1))-AB319),3)</f>
        <v>135.962</v>
      </c>
      <c r="AG319" s="167"/>
      <c r="AH319" s="167"/>
      <c r="AI319" s="167"/>
      <c r="AJ319" s="11" t="s">
        <v>28</v>
      </c>
      <c r="AK319" s="11"/>
      <c r="AL319" s="11"/>
      <c r="AM319" s="11"/>
      <c r="AN319" s="11"/>
      <c r="AO319" s="11"/>
      <c r="AP319" s="11"/>
      <c r="AQ319" s="11"/>
      <c r="AR319" s="11"/>
      <c r="AS319" s="11"/>
      <c r="BA319" s="11"/>
      <c r="BB319" s="11"/>
      <c r="BC319" s="11"/>
    </row>
    <row r="320" spans="1:45" ht="18" customHeight="1">
      <c r="A320" s="11"/>
      <c r="B320" s="11"/>
      <c r="C320" s="11"/>
      <c r="D320" s="11"/>
      <c r="E320" s="233"/>
      <c r="F320" s="234" t="s">
        <v>91</v>
      </c>
      <c r="G320" s="234"/>
      <c r="H320" s="233"/>
      <c r="I320" s="11"/>
      <c r="J320" s="51" t="s">
        <v>93</v>
      </c>
      <c r="K320" s="51" t="s">
        <v>38</v>
      </c>
      <c r="L320" s="51"/>
      <c r="M320" s="51"/>
      <c r="N320" s="51"/>
      <c r="O320" s="51"/>
      <c r="P320" s="233"/>
      <c r="Q320" s="234" t="s">
        <v>91</v>
      </c>
      <c r="R320" s="234"/>
      <c r="S320" s="233"/>
      <c r="T320" s="11"/>
      <c r="U320" s="51" t="s">
        <v>79</v>
      </c>
      <c r="V320" s="233"/>
      <c r="W320" s="233"/>
      <c r="X320" s="235">
        <f>(AG239+AM239)*1000</f>
        <v>2400</v>
      </c>
      <c r="Y320" s="234"/>
      <c r="Z320" s="234"/>
      <c r="AA320" s="233"/>
      <c r="AB320" s="233"/>
      <c r="AC320" s="233"/>
      <c r="AD320" s="233"/>
      <c r="AE320" s="51" t="s">
        <v>79</v>
      </c>
      <c r="AF320" s="219">
        <f>X320/(V321*Y321*AC321)</f>
        <v>10</v>
      </c>
      <c r="AG320" s="219"/>
      <c r="AH320" s="219"/>
      <c r="AI320" s="51" t="s">
        <v>71</v>
      </c>
      <c r="AJ320" s="51"/>
      <c r="AK320" s="11"/>
      <c r="AL320" s="11"/>
      <c r="AM320" s="11"/>
      <c r="AN320" s="11"/>
      <c r="AO320" s="11"/>
      <c r="AP320" s="11"/>
      <c r="AQ320" s="11"/>
      <c r="AR320" s="11"/>
      <c r="AS320" s="11"/>
    </row>
    <row r="321" spans="1:45" ht="18" customHeight="1">
      <c r="A321" s="11"/>
      <c r="B321" s="11"/>
      <c r="C321" s="11"/>
      <c r="D321" s="11"/>
      <c r="E321" s="236">
        <f>P318</f>
        <v>46</v>
      </c>
      <c r="F321" s="237"/>
      <c r="G321" s="11" t="s">
        <v>92</v>
      </c>
      <c r="H321" s="11"/>
      <c r="I321" s="11"/>
      <c r="J321" s="51"/>
      <c r="K321" s="51"/>
      <c r="L321" s="51"/>
      <c r="M321" s="51"/>
      <c r="N321" s="51"/>
      <c r="O321" s="51"/>
      <c r="P321" s="236">
        <v>80</v>
      </c>
      <c r="Q321" s="237"/>
      <c r="R321" s="11" t="s">
        <v>92</v>
      </c>
      <c r="S321" s="11"/>
      <c r="T321" s="11"/>
      <c r="U321" s="51"/>
      <c r="V321" s="236">
        <f>P321</f>
        <v>80</v>
      </c>
      <c r="W321" s="237"/>
      <c r="X321" s="11" t="s">
        <v>83</v>
      </c>
      <c r="Y321" s="237">
        <f>AF304</f>
        <v>1</v>
      </c>
      <c r="Z321" s="237"/>
      <c r="AA321" s="237"/>
      <c r="AB321" s="11" t="s">
        <v>83</v>
      </c>
      <c r="AC321" s="236">
        <f>C264+1</f>
        <v>3</v>
      </c>
      <c r="AD321" s="237"/>
      <c r="AE321" s="51"/>
      <c r="AF321" s="219"/>
      <c r="AG321" s="219"/>
      <c r="AH321" s="219"/>
      <c r="AI321" s="51"/>
      <c r="AJ321" s="51"/>
      <c r="AK321" s="11"/>
      <c r="AL321" s="11"/>
      <c r="AM321" s="11"/>
      <c r="AN321" s="11"/>
      <c r="AO321" s="11"/>
      <c r="AP321" s="11"/>
      <c r="AQ321" s="11"/>
      <c r="AR321" s="11"/>
      <c r="AS321" s="11"/>
    </row>
    <row r="322" spans="1:45" ht="18" customHeight="1">
      <c r="A322" s="11"/>
      <c r="B322" s="11"/>
      <c r="C322" s="11"/>
      <c r="D322" s="11"/>
      <c r="E322" s="11"/>
      <c r="F322" s="11"/>
      <c r="G322" s="11" t="s">
        <v>25</v>
      </c>
      <c r="H322" s="11"/>
      <c r="I322" s="11"/>
      <c r="J322" s="11"/>
      <c r="K322" s="11"/>
      <c r="L322" s="11"/>
      <c r="M322" s="11"/>
      <c r="N322" s="220">
        <f>210000</f>
        <v>210000</v>
      </c>
      <c r="O322" s="220"/>
      <c r="P322" s="220"/>
      <c r="Q322" s="220"/>
      <c r="R322" s="11" t="s">
        <v>83</v>
      </c>
      <c r="S322" s="11" t="s">
        <v>95</v>
      </c>
      <c r="T322" s="11"/>
      <c r="U322" s="11"/>
      <c r="V322" s="11"/>
      <c r="W322" s="11"/>
      <c r="X322" s="11"/>
      <c r="Y322" s="11"/>
      <c r="Z322" s="11" t="s">
        <v>79</v>
      </c>
      <c r="AA322" s="51">
        <f>N322*(AG245*1000*Y321*AC321/X320)^2</f>
        <v>144.70312499999997</v>
      </c>
      <c r="AB322" s="51"/>
      <c r="AC322" s="51"/>
      <c r="AD322" s="51"/>
      <c r="AE322" s="11"/>
      <c r="AF322" s="11" t="s">
        <v>28</v>
      </c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</row>
    <row r="323" spans="1:45" ht="18" customHeight="1">
      <c r="A323" s="11"/>
      <c r="B323" s="11"/>
      <c r="C323" s="11"/>
      <c r="D323" s="11"/>
      <c r="E323" s="11" t="s">
        <v>26</v>
      </c>
      <c r="F323" s="11"/>
      <c r="G323" s="11"/>
      <c r="H323" s="11"/>
      <c r="I323" s="11"/>
      <c r="J323" s="219">
        <f>AG245*1000</f>
        <v>21</v>
      </c>
      <c r="K323" s="219"/>
      <c r="L323" s="219"/>
      <c r="M323" s="10" t="s">
        <v>145</v>
      </c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</row>
    <row r="324" spans="1:45" ht="18" customHeight="1">
      <c r="A324" s="11"/>
      <c r="B324" s="11"/>
      <c r="C324" s="11"/>
      <c r="D324" s="11"/>
      <c r="E324" s="11" t="s">
        <v>27</v>
      </c>
      <c r="F324" s="11"/>
      <c r="G324" s="11"/>
      <c r="H324" s="11"/>
      <c r="I324" s="11"/>
      <c r="J324" s="11"/>
      <c r="K324" s="11"/>
      <c r="L324" s="51">
        <f>IF(J323&gt;=AC314,O316,IF(J323&gt;=AF317,AF319,IF(J323&gt;=AF320,AA322,"확인 요망")))</f>
        <v>135.962</v>
      </c>
      <c r="M324" s="51"/>
      <c r="N324" s="51"/>
      <c r="O324" s="51"/>
      <c r="P324" s="11" t="s">
        <v>28</v>
      </c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</row>
    <row r="325" spans="1:45" ht="18" customHeight="1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</row>
    <row r="326" spans="1:45" ht="18" customHeight="1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</row>
    <row r="327" spans="1:46" ht="18" customHeight="1">
      <c r="A327" s="11"/>
      <c r="B327" s="11"/>
      <c r="C327" s="239" t="s">
        <v>42</v>
      </c>
      <c r="D327" s="240"/>
      <c r="E327" s="240"/>
      <c r="F327" s="240"/>
      <c r="G327" s="240"/>
      <c r="H327" s="239" t="s">
        <v>43</v>
      </c>
      <c r="I327" s="240"/>
      <c r="J327" s="240"/>
      <c r="K327" s="240"/>
      <c r="L327" s="240"/>
      <c r="M327" s="240"/>
      <c r="N327" s="240"/>
      <c r="O327" s="240"/>
      <c r="P327" s="240"/>
      <c r="Q327" s="240"/>
      <c r="R327" s="240"/>
      <c r="S327" s="240"/>
      <c r="T327" s="240"/>
      <c r="U327" s="240"/>
      <c r="V327" s="240"/>
      <c r="W327" s="240"/>
      <c r="X327" s="240"/>
      <c r="Y327" s="240"/>
      <c r="Z327" s="240"/>
      <c r="AA327" s="240"/>
      <c r="AB327" s="240" t="s">
        <v>96</v>
      </c>
      <c r="AC327" s="240"/>
      <c r="AD327" s="240"/>
      <c r="AE327" s="240"/>
      <c r="AF327" s="240"/>
      <c r="AG327" s="240"/>
      <c r="AH327" s="240"/>
      <c r="AI327" s="240"/>
      <c r="AJ327" s="241" t="s">
        <v>44</v>
      </c>
      <c r="AK327" s="242"/>
      <c r="AL327" s="242"/>
      <c r="AM327" s="242"/>
      <c r="AN327" s="242"/>
      <c r="AO327" s="242"/>
      <c r="AP327" s="242"/>
      <c r="AQ327" s="242"/>
      <c r="AR327" s="243"/>
      <c r="AS327" s="243"/>
      <c r="AT327" s="232"/>
    </row>
    <row r="328" spans="1:46" ht="18" customHeight="1">
      <c r="A328" s="11"/>
      <c r="B328" s="11"/>
      <c r="C328" s="240"/>
      <c r="D328" s="240"/>
      <c r="E328" s="240"/>
      <c r="F328" s="240"/>
      <c r="G328" s="240"/>
      <c r="H328" s="239" t="s">
        <v>40</v>
      </c>
      <c r="I328" s="240"/>
      <c r="J328" s="240"/>
      <c r="K328" s="240"/>
      <c r="L328" s="240"/>
      <c r="M328" s="240"/>
      <c r="N328" s="240"/>
      <c r="O328" s="240"/>
      <c r="P328" s="240"/>
      <c r="Q328" s="240"/>
      <c r="R328" s="239" t="s">
        <v>41</v>
      </c>
      <c r="S328" s="240"/>
      <c r="T328" s="240"/>
      <c r="U328" s="240"/>
      <c r="V328" s="240"/>
      <c r="W328" s="240"/>
      <c r="X328" s="240"/>
      <c r="Y328" s="240"/>
      <c r="Z328" s="240"/>
      <c r="AA328" s="240"/>
      <c r="AB328" s="240"/>
      <c r="AC328" s="240"/>
      <c r="AD328" s="240"/>
      <c r="AE328" s="240"/>
      <c r="AF328" s="240"/>
      <c r="AG328" s="240"/>
      <c r="AH328" s="240"/>
      <c r="AI328" s="240"/>
      <c r="AJ328" s="241" t="s">
        <v>45</v>
      </c>
      <c r="AK328" s="242"/>
      <c r="AL328" s="242"/>
      <c r="AM328" s="242"/>
      <c r="AN328" s="242"/>
      <c r="AO328" s="242"/>
      <c r="AP328" s="242"/>
      <c r="AQ328" s="242"/>
      <c r="AR328" s="243"/>
      <c r="AS328" s="243"/>
      <c r="AT328" s="232"/>
    </row>
    <row r="329" spans="1:46" ht="18" customHeight="1">
      <c r="A329" s="11"/>
      <c r="B329" s="11"/>
      <c r="C329" s="240"/>
      <c r="D329" s="240"/>
      <c r="E329" s="240"/>
      <c r="F329" s="240"/>
      <c r="G329" s="240"/>
      <c r="H329" s="244" t="s">
        <v>46</v>
      </c>
      <c r="I329" s="182"/>
      <c r="J329" s="182"/>
      <c r="K329" s="182"/>
      <c r="L329" s="184"/>
      <c r="M329" s="244" t="s">
        <v>47</v>
      </c>
      <c r="N329" s="182"/>
      <c r="O329" s="182"/>
      <c r="P329" s="182"/>
      <c r="Q329" s="184"/>
      <c r="R329" s="244" t="s">
        <v>46</v>
      </c>
      <c r="S329" s="182"/>
      <c r="T329" s="182"/>
      <c r="U329" s="182"/>
      <c r="V329" s="184"/>
      <c r="W329" s="244" t="s">
        <v>47</v>
      </c>
      <c r="X329" s="182"/>
      <c r="Y329" s="182"/>
      <c r="Z329" s="182"/>
      <c r="AA329" s="184"/>
      <c r="AB329" s="239" t="s">
        <v>46</v>
      </c>
      <c r="AC329" s="240"/>
      <c r="AD329" s="240"/>
      <c r="AE329" s="240"/>
      <c r="AF329" s="239" t="s">
        <v>47</v>
      </c>
      <c r="AG329" s="240"/>
      <c r="AH329" s="240"/>
      <c r="AI329" s="240"/>
      <c r="AJ329" s="241" t="s">
        <v>46</v>
      </c>
      <c r="AK329" s="242"/>
      <c r="AL329" s="242"/>
      <c r="AM329" s="242"/>
      <c r="AN329" s="241" t="s">
        <v>47</v>
      </c>
      <c r="AO329" s="242"/>
      <c r="AP329" s="242"/>
      <c r="AQ329" s="242"/>
      <c r="AR329" s="243"/>
      <c r="AS329" s="243"/>
      <c r="AT329" s="232"/>
    </row>
    <row r="330" spans="1:46" ht="18" customHeight="1">
      <c r="A330" s="11"/>
      <c r="B330" s="11"/>
      <c r="C330" s="245">
        <v>1</v>
      </c>
      <c r="D330" s="245"/>
      <c r="E330" s="245"/>
      <c r="F330" s="245"/>
      <c r="G330" s="245"/>
      <c r="H330" s="240">
        <f>M290</f>
        <v>21.88748835545082</v>
      </c>
      <c r="I330" s="240"/>
      <c r="J330" s="240"/>
      <c r="K330" s="240"/>
      <c r="L330" s="240"/>
      <c r="M330" s="240">
        <f>M291</f>
        <v>-21.35044746546164</v>
      </c>
      <c r="N330" s="240"/>
      <c r="O330" s="240"/>
      <c r="P330" s="240"/>
      <c r="Q330" s="240"/>
      <c r="R330" s="240">
        <f>IF(H330&gt;=0,H312,L324)</f>
        <v>210</v>
      </c>
      <c r="S330" s="240"/>
      <c r="T330" s="240"/>
      <c r="U330" s="240"/>
      <c r="V330" s="240"/>
      <c r="W330" s="240">
        <f>IF(M330&gt;=0,H312,L324)</f>
        <v>135.962</v>
      </c>
      <c r="X330" s="240"/>
      <c r="Y330" s="240"/>
      <c r="Z330" s="240"/>
      <c r="AA330" s="240"/>
      <c r="AB330" s="240">
        <f>(H330/R330)^2</f>
        <v>0.010863087222448872</v>
      </c>
      <c r="AC330" s="240"/>
      <c r="AD330" s="240"/>
      <c r="AE330" s="240"/>
      <c r="AF330" s="240">
        <f>(M330/W330)^2</f>
        <v>0.024659193814599335</v>
      </c>
      <c r="AG330" s="240"/>
      <c r="AH330" s="240"/>
      <c r="AI330" s="240"/>
      <c r="AJ330" s="242">
        <f>(H330/R330)^2+(S292/AJ300)^2</f>
        <v>0.047282151517451694</v>
      </c>
      <c r="AK330" s="242"/>
      <c r="AL330" s="242"/>
      <c r="AM330" s="242"/>
      <c r="AN330" s="242">
        <f>(M330/W330)^2+(S292/AJ300)^2</f>
        <v>0.06107825810960216</v>
      </c>
      <c r="AO330" s="242"/>
      <c r="AP330" s="242"/>
      <c r="AQ330" s="242"/>
      <c r="AR330" s="243"/>
      <c r="AS330" s="243"/>
      <c r="AT330" s="232"/>
    </row>
    <row r="331" spans="1:46" ht="18" customHeight="1">
      <c r="A331" s="11"/>
      <c r="B331" s="11"/>
      <c r="C331" s="245" t="s">
        <v>61</v>
      </c>
      <c r="D331" s="245"/>
      <c r="E331" s="245"/>
      <c r="F331" s="245"/>
      <c r="G331" s="245"/>
      <c r="H331" s="240">
        <f>M290+N295</f>
        <v>39.76414477296816</v>
      </c>
      <c r="I331" s="240"/>
      <c r="J331" s="240"/>
      <c r="K331" s="240"/>
      <c r="L331" s="240"/>
      <c r="M331" s="240">
        <f>M291+N296</f>
        <v>-38.78847450181915</v>
      </c>
      <c r="N331" s="240"/>
      <c r="O331" s="240"/>
      <c r="P331" s="240"/>
      <c r="Q331" s="240"/>
      <c r="R331" s="240">
        <f>R330</f>
        <v>210</v>
      </c>
      <c r="S331" s="240"/>
      <c r="T331" s="240"/>
      <c r="U331" s="240"/>
      <c r="V331" s="240"/>
      <c r="W331" s="240">
        <f>W330</f>
        <v>135.962</v>
      </c>
      <c r="X331" s="240"/>
      <c r="Y331" s="240"/>
      <c r="Z331" s="240"/>
      <c r="AA331" s="240"/>
      <c r="AB331" s="240">
        <f>(H331/R331)^2</f>
        <v>0.03585458525001295</v>
      </c>
      <c r="AC331" s="240"/>
      <c r="AD331" s="240"/>
      <c r="AE331" s="240"/>
      <c r="AF331" s="240">
        <f>(M331/W331)^2</f>
        <v>0.08138986171399169</v>
      </c>
      <c r="AG331" s="240"/>
      <c r="AH331" s="240"/>
      <c r="AI331" s="240"/>
      <c r="AJ331" s="242">
        <f>(H331/R331)^2+(Z300/AJ300)^2</f>
        <v>0.129781397497566</v>
      </c>
      <c r="AK331" s="242"/>
      <c r="AL331" s="242"/>
      <c r="AM331" s="242"/>
      <c r="AN331" s="242">
        <f>(M331/W331)^2+(Z300/AJ300)^2</f>
        <v>0.17531667396154477</v>
      </c>
      <c r="AO331" s="242"/>
      <c r="AP331" s="242"/>
      <c r="AQ331" s="242"/>
      <c r="AR331" s="243"/>
      <c r="AS331" s="243"/>
      <c r="AT331" s="232"/>
    </row>
    <row r="332" spans="1:45" ht="18" customHeight="1">
      <c r="A332" s="11"/>
      <c r="B332" s="11"/>
      <c r="C332" s="11" t="s">
        <v>48</v>
      </c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227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</row>
    <row r="333" spans="1:45" ht="18" customHeight="1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</row>
    <row r="334" spans="1:45" ht="18" customHeight="1">
      <c r="A334" s="11"/>
      <c r="B334" s="11" t="s">
        <v>62</v>
      </c>
      <c r="C334" s="11"/>
      <c r="D334" s="11"/>
      <c r="E334" s="11"/>
      <c r="F334" s="11"/>
      <c r="G334" s="11"/>
      <c r="H334" s="11"/>
      <c r="I334" s="11"/>
      <c r="J334" s="11"/>
      <c r="K334" s="227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</row>
    <row r="335" spans="1:45" ht="18" customHeight="1">
      <c r="A335" s="11"/>
      <c r="B335" s="11"/>
      <c r="C335" s="11"/>
      <c r="D335" s="11"/>
      <c r="E335" s="11" t="s">
        <v>49</v>
      </c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</row>
    <row r="336" spans="1:45" ht="18" customHeight="1">
      <c r="A336" s="11"/>
      <c r="B336" s="11"/>
      <c r="C336" s="11"/>
      <c r="D336" s="11"/>
      <c r="E336" s="11"/>
      <c r="F336" s="274" t="s">
        <v>85</v>
      </c>
      <c r="G336" s="234" t="s">
        <v>97</v>
      </c>
      <c r="H336" s="234"/>
      <c r="I336" s="275">
        <v>0</v>
      </c>
      <c r="J336" s="51"/>
      <c r="K336" s="51"/>
      <c r="L336" s="51"/>
      <c r="M336" s="234" t="s">
        <v>98</v>
      </c>
      <c r="N336" s="234"/>
      <c r="O336" s="276">
        <v>0</v>
      </c>
      <c r="P336" s="51"/>
      <c r="Q336" s="51" t="s">
        <v>79</v>
      </c>
      <c r="R336" s="277" t="s">
        <v>85</v>
      </c>
      <c r="S336" s="234">
        <f>IF(AB330=R338,H330,IF(AB331=R338,H331,"ERROR"))</f>
        <v>39.76414477296816</v>
      </c>
      <c r="T336" s="234"/>
      <c r="U336" s="234"/>
      <c r="V336" s="234"/>
      <c r="W336" s="234"/>
      <c r="X336" s="278">
        <v>0</v>
      </c>
      <c r="Y336" s="51"/>
      <c r="Z336" s="51" t="s">
        <v>78</v>
      </c>
      <c r="AA336" s="279" t="s">
        <v>85</v>
      </c>
      <c r="AB336" s="234">
        <f>Z300</f>
        <v>36.77697780357657</v>
      </c>
      <c r="AC336" s="234"/>
      <c r="AD336" s="234"/>
      <c r="AE336" s="234"/>
      <c r="AF336" s="234"/>
      <c r="AG336" s="280">
        <v>0</v>
      </c>
      <c r="AH336" s="5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</row>
    <row r="337" spans="1:45" ht="18" customHeight="1">
      <c r="A337" s="11"/>
      <c r="B337" s="11"/>
      <c r="C337" s="11"/>
      <c r="D337" s="11"/>
      <c r="E337" s="11"/>
      <c r="F337" s="51"/>
      <c r="G337" s="237" t="s">
        <v>99</v>
      </c>
      <c r="H337" s="237"/>
      <c r="I337" s="51"/>
      <c r="J337" s="51"/>
      <c r="K337" s="51"/>
      <c r="L337" s="51"/>
      <c r="M337" s="237" t="s">
        <v>100</v>
      </c>
      <c r="N337" s="237"/>
      <c r="O337" s="51"/>
      <c r="P337" s="51"/>
      <c r="Q337" s="51"/>
      <c r="R337" s="51"/>
      <c r="S337" s="237">
        <f>IF(AB330=R338,R330,IF(AB331=R338,R331,"ERROR"))</f>
        <v>210</v>
      </c>
      <c r="T337" s="237"/>
      <c r="U337" s="237"/>
      <c r="V337" s="237"/>
      <c r="W337" s="237"/>
      <c r="X337" s="51"/>
      <c r="Y337" s="51"/>
      <c r="Z337" s="51"/>
      <c r="AA337" s="51"/>
      <c r="AB337" s="237">
        <f>AJ300</f>
        <v>120</v>
      </c>
      <c r="AC337" s="237"/>
      <c r="AD337" s="237"/>
      <c r="AE337" s="237"/>
      <c r="AF337" s="237"/>
      <c r="AG337" s="51"/>
      <c r="AH337" s="5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</row>
    <row r="338" spans="1:45" ht="18" customHeight="1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 t="s">
        <v>79</v>
      </c>
      <c r="R338" s="51">
        <f>MAX(AB330:AB331)</f>
        <v>0.03585458525001295</v>
      </c>
      <c r="S338" s="51"/>
      <c r="T338" s="51"/>
      <c r="U338" s="51"/>
      <c r="V338" s="11" t="s">
        <v>78</v>
      </c>
      <c r="W338" s="51">
        <f>(Z300/AJ300)^2</f>
        <v>0.09392681224755306</v>
      </c>
      <c r="X338" s="51"/>
      <c r="Y338" s="51"/>
      <c r="Z338" s="51"/>
      <c r="AA338" s="11" t="s">
        <v>79</v>
      </c>
      <c r="AB338" s="51">
        <f>R338+W338</f>
        <v>0.129781397497566</v>
      </c>
      <c r="AC338" s="51"/>
      <c r="AD338" s="51"/>
      <c r="AE338" s="51"/>
      <c r="AF338" s="11"/>
      <c r="AG338" s="11" t="str">
        <f>IF(AB338&gt;AI338,"＞","＜")</f>
        <v>＜</v>
      </c>
      <c r="AH338" s="11"/>
      <c r="AI338" s="219">
        <v>1.2</v>
      </c>
      <c r="AJ338" s="51"/>
      <c r="AK338" s="51"/>
      <c r="AL338" s="11"/>
      <c r="AM338" s="11" t="str">
        <f>IF(AB338&lt;AI338,"O.K.","N.G.")</f>
        <v>O.K.</v>
      </c>
      <c r="AN338" s="11"/>
      <c r="AO338" s="11"/>
      <c r="AP338" s="11"/>
      <c r="AQ338" s="11"/>
      <c r="AR338" s="11"/>
      <c r="AS338" s="11"/>
    </row>
    <row r="339" spans="1:45" ht="18" customHeight="1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</row>
    <row r="340" spans="1:45" ht="18" customHeight="1">
      <c r="A340" s="11"/>
      <c r="B340" s="11"/>
      <c r="C340" s="11"/>
      <c r="D340" s="11"/>
      <c r="E340" s="11" t="s">
        <v>50</v>
      </c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</row>
    <row r="341" spans="1:45" ht="18" customHeight="1">
      <c r="A341" s="11"/>
      <c r="B341" s="11"/>
      <c r="C341" s="11"/>
      <c r="D341" s="11"/>
      <c r="E341" s="11"/>
      <c r="F341" s="281" t="s">
        <v>85</v>
      </c>
      <c r="G341" s="234" t="s">
        <v>97</v>
      </c>
      <c r="H341" s="234"/>
      <c r="I341" s="282">
        <v>0</v>
      </c>
      <c r="J341" s="51"/>
      <c r="K341" s="51"/>
      <c r="L341" s="51"/>
      <c r="M341" s="234" t="s">
        <v>98</v>
      </c>
      <c r="N341" s="234"/>
      <c r="O341" s="283">
        <v>0</v>
      </c>
      <c r="P341" s="51"/>
      <c r="Q341" s="51" t="s">
        <v>79</v>
      </c>
      <c r="R341" s="284" t="s">
        <v>85</v>
      </c>
      <c r="S341" s="234">
        <f>IF(AF330=R343,M330,IF(AF331=R343,M331,"ERROR"))</f>
        <v>-38.78847450181915</v>
      </c>
      <c r="T341" s="234"/>
      <c r="U341" s="234"/>
      <c r="V341" s="234"/>
      <c r="W341" s="234"/>
      <c r="X341" s="285">
        <v>0</v>
      </c>
      <c r="Y341" s="51"/>
      <c r="Z341" s="51" t="s">
        <v>78</v>
      </c>
      <c r="AA341" s="286" t="s">
        <v>85</v>
      </c>
      <c r="AB341" s="234">
        <f>Z300</f>
        <v>36.77697780357657</v>
      </c>
      <c r="AC341" s="234"/>
      <c r="AD341" s="234"/>
      <c r="AE341" s="234"/>
      <c r="AF341" s="234"/>
      <c r="AG341" s="287">
        <v>0</v>
      </c>
      <c r="AH341" s="5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</row>
    <row r="342" spans="1:45" ht="18" customHeight="1">
      <c r="A342" s="11"/>
      <c r="B342" s="11"/>
      <c r="C342" s="11"/>
      <c r="D342" s="11"/>
      <c r="E342" s="11"/>
      <c r="F342" s="51"/>
      <c r="G342" s="237" t="s">
        <v>99</v>
      </c>
      <c r="H342" s="237"/>
      <c r="I342" s="51"/>
      <c r="J342" s="51"/>
      <c r="K342" s="51"/>
      <c r="L342" s="51"/>
      <c r="M342" s="237" t="s">
        <v>100</v>
      </c>
      <c r="N342" s="237"/>
      <c r="O342" s="51"/>
      <c r="P342" s="51"/>
      <c r="Q342" s="51"/>
      <c r="R342" s="51"/>
      <c r="S342" s="237">
        <f>IF(AF330=R343,W330,IF(AF331=R343,W331,"ERROR"))</f>
        <v>135.962</v>
      </c>
      <c r="T342" s="237"/>
      <c r="U342" s="237"/>
      <c r="V342" s="237"/>
      <c r="W342" s="237"/>
      <c r="X342" s="51"/>
      <c r="Y342" s="51"/>
      <c r="Z342" s="51"/>
      <c r="AA342" s="51"/>
      <c r="AB342" s="237">
        <f>AJ300</f>
        <v>120</v>
      </c>
      <c r="AC342" s="237"/>
      <c r="AD342" s="237"/>
      <c r="AE342" s="237"/>
      <c r="AF342" s="237"/>
      <c r="AG342" s="51"/>
      <c r="AH342" s="5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</row>
    <row r="343" spans="1:45" ht="18" customHeight="1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 t="s">
        <v>79</v>
      </c>
      <c r="R343" s="51">
        <f>MAX(AF330:AF331)</f>
        <v>0.08138986171399169</v>
      </c>
      <c r="S343" s="51"/>
      <c r="T343" s="51"/>
      <c r="U343" s="51"/>
      <c r="V343" s="11" t="s">
        <v>78</v>
      </c>
      <c r="W343" s="51">
        <f>(Z300/AJ300)^2</f>
        <v>0.09392681224755306</v>
      </c>
      <c r="X343" s="51"/>
      <c r="Y343" s="51"/>
      <c r="Z343" s="51"/>
      <c r="AA343" s="11" t="s">
        <v>79</v>
      </c>
      <c r="AB343" s="51">
        <f>R343+W343</f>
        <v>0.17531667396154477</v>
      </c>
      <c r="AC343" s="51"/>
      <c r="AD343" s="51"/>
      <c r="AE343" s="51"/>
      <c r="AF343" s="11"/>
      <c r="AG343" s="11" t="str">
        <f>IF(AB343&gt;AI343,"＞","＜")</f>
        <v>＜</v>
      </c>
      <c r="AH343" s="11"/>
      <c r="AI343" s="219">
        <v>1.2</v>
      </c>
      <c r="AJ343" s="51"/>
      <c r="AK343" s="51"/>
      <c r="AL343" s="11"/>
      <c r="AM343" s="11" t="str">
        <f>IF(AB343&lt;AI343,"O.K.","N.G.")</f>
        <v>O.K.</v>
      </c>
      <c r="AN343" s="11"/>
      <c r="AO343" s="11"/>
      <c r="AP343" s="11"/>
      <c r="AQ343" s="11"/>
      <c r="AR343" s="11"/>
      <c r="AS343" s="11"/>
    </row>
    <row r="345" spans="21:31" ht="18" customHeight="1"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</row>
    <row r="352" spans="2:25" s="53" customFormat="1" ht="18" customHeight="1">
      <c r="B352" s="54" t="s">
        <v>278</v>
      </c>
      <c r="E352" s="55">
        <v>4</v>
      </c>
      <c r="F352" s="55"/>
      <c r="G352" s="53" t="s">
        <v>63</v>
      </c>
      <c r="K352" s="53" t="s">
        <v>109</v>
      </c>
      <c r="M352" s="55">
        <v>24</v>
      </c>
      <c r="N352" s="55"/>
      <c r="O352" s="53" t="s">
        <v>64</v>
      </c>
      <c r="V352" s="56">
        <v>0.63</v>
      </c>
      <c r="W352" s="56"/>
      <c r="X352" s="56"/>
      <c r="Y352" s="53" t="s">
        <v>65</v>
      </c>
    </row>
    <row r="353" spans="1:70" ht="18" customHeight="1">
      <c r="A353" s="163" t="s">
        <v>110</v>
      </c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 t="s">
        <v>111</v>
      </c>
      <c r="AA353" s="11"/>
      <c r="AB353" s="11"/>
      <c r="AC353" s="11"/>
      <c r="AD353" s="11"/>
      <c r="AE353" s="11"/>
      <c r="AF353" s="11"/>
      <c r="AG353" s="58" t="s">
        <v>11</v>
      </c>
      <c r="AH353" s="59"/>
      <c r="AI353" s="59"/>
      <c r="AJ353" s="59"/>
      <c r="AK353" s="60" t="s">
        <v>171</v>
      </c>
      <c r="AL353" s="11"/>
      <c r="AM353" s="11"/>
      <c r="AN353" s="11"/>
      <c r="AO353" s="11"/>
      <c r="AP353" s="11"/>
      <c r="AQ353" s="11"/>
      <c r="AT353" s="11"/>
      <c r="AU353" s="11"/>
      <c r="AV353" s="11"/>
      <c r="AW353" s="11"/>
      <c r="AX353" s="164"/>
      <c r="AY353" s="164"/>
      <c r="AZ353" s="165"/>
      <c r="BA353" s="165"/>
      <c r="BB353" s="165"/>
      <c r="BC353" s="165"/>
      <c r="BD353" s="165"/>
      <c r="BM353" s="165"/>
      <c r="BN353" s="165"/>
      <c r="BO353" s="165"/>
      <c r="BP353" s="165"/>
      <c r="BQ353" s="165"/>
      <c r="BR353" s="165"/>
    </row>
    <row r="354" spans="1:70" ht="18" customHeight="1">
      <c r="A354" s="11"/>
      <c r="B354" s="11"/>
      <c r="C354" s="11"/>
      <c r="D354" s="11"/>
      <c r="E354" s="164"/>
      <c r="F354" s="164"/>
      <c r="G354" s="164"/>
      <c r="H354" s="164"/>
      <c r="I354" s="164"/>
      <c r="J354" s="164"/>
      <c r="K354" s="164"/>
      <c r="M354" s="165"/>
      <c r="N354" s="165"/>
      <c r="O354" s="165"/>
      <c r="P354" s="165"/>
      <c r="Q354" s="165"/>
      <c r="R354" s="165"/>
      <c r="S354" s="165"/>
      <c r="T354" s="164"/>
      <c r="U354" s="164"/>
      <c r="V354" s="164"/>
      <c r="W354" s="164"/>
      <c r="X354" s="164"/>
      <c r="Y354" s="164"/>
      <c r="Z354" s="11"/>
      <c r="AA354" s="11"/>
      <c r="AB354" s="11"/>
      <c r="AC354" s="11"/>
      <c r="AD354" s="11"/>
      <c r="AT354" s="11"/>
      <c r="AU354" s="11"/>
      <c r="AV354" s="11"/>
      <c r="AW354" s="11"/>
      <c r="AX354" s="164"/>
      <c r="AY354" s="164"/>
      <c r="AZ354" s="165"/>
      <c r="BA354" s="165"/>
      <c r="BB354" s="165"/>
      <c r="BC354" s="165"/>
      <c r="BD354" s="165"/>
      <c r="BM354" s="165"/>
      <c r="BN354" s="165"/>
      <c r="BO354" s="165"/>
      <c r="BP354" s="165"/>
      <c r="BQ354" s="165"/>
      <c r="BR354" s="165"/>
    </row>
    <row r="355" spans="1:51" ht="18" customHeight="1">
      <c r="A355" s="11"/>
      <c r="B355" s="11"/>
      <c r="C355" s="11"/>
      <c r="D355" s="11"/>
      <c r="E355" s="164"/>
      <c r="F355" s="164"/>
      <c r="G355" s="164"/>
      <c r="L355" s="165"/>
      <c r="M355" s="165"/>
      <c r="N355" s="165"/>
      <c r="O355" s="165"/>
      <c r="P355" s="165"/>
      <c r="Q355" s="165"/>
      <c r="R355" s="165"/>
      <c r="S355" s="165"/>
      <c r="W355" s="165"/>
      <c r="X355" s="164"/>
      <c r="Y355" s="164"/>
      <c r="Z355" s="11"/>
      <c r="AA355" s="11"/>
      <c r="AB355" s="11"/>
      <c r="AC355" s="11"/>
      <c r="AD355" s="11"/>
      <c r="AE355" s="163" t="s">
        <v>66</v>
      </c>
      <c r="AF355" s="11"/>
      <c r="AG355" s="58">
        <v>2.6</v>
      </c>
      <c r="AH355" s="58"/>
      <c r="AI355" s="58"/>
      <c r="AJ355" s="11" t="s">
        <v>65</v>
      </c>
      <c r="AK355" s="11"/>
      <c r="AL355" s="11"/>
      <c r="AM355" s="11"/>
      <c r="AN355" s="11"/>
      <c r="AO355" s="11"/>
      <c r="AP355" s="11"/>
      <c r="AQ355" s="11"/>
      <c r="AT355" s="11"/>
      <c r="AU355" s="11"/>
      <c r="AV355" s="11"/>
      <c r="AW355" s="11"/>
      <c r="AX355" s="164"/>
      <c r="AY355" s="11"/>
    </row>
    <row r="356" spans="1:51" ht="18" customHeight="1">
      <c r="A356" s="11"/>
      <c r="B356" s="11"/>
      <c r="C356" s="11"/>
      <c r="D356" s="11"/>
      <c r="E356" s="11"/>
      <c r="F356" s="11"/>
      <c r="G356" s="11"/>
      <c r="H356" s="165"/>
      <c r="I356" s="165"/>
      <c r="J356" s="165"/>
      <c r="K356" s="165"/>
      <c r="L356" s="165"/>
      <c r="M356" s="165"/>
      <c r="N356" s="165"/>
      <c r="O356" s="165"/>
      <c r="P356" s="165"/>
      <c r="Q356" s="165"/>
      <c r="R356" s="165"/>
      <c r="S356" s="165"/>
      <c r="T356" s="165"/>
      <c r="U356" s="165"/>
      <c r="V356" s="165"/>
      <c r="W356" s="11"/>
      <c r="X356" s="11"/>
      <c r="Y356" s="11"/>
      <c r="Z356" s="11"/>
      <c r="AA356" s="11"/>
      <c r="AB356" s="11"/>
      <c r="AC356" s="11"/>
      <c r="AD356" s="11"/>
      <c r="AE356" s="11" t="s">
        <v>112</v>
      </c>
      <c r="AF356" s="11"/>
      <c r="AG356" s="58">
        <v>1.2</v>
      </c>
      <c r="AH356" s="58"/>
      <c r="AI356" s="58"/>
      <c r="AJ356" s="11" t="s">
        <v>113</v>
      </c>
      <c r="AK356" s="11" t="s">
        <v>114</v>
      </c>
      <c r="AL356" s="11"/>
      <c r="AM356" s="58">
        <v>1.2</v>
      </c>
      <c r="AN356" s="58"/>
      <c r="AO356" s="58"/>
      <c r="AP356" s="11" t="s">
        <v>115</v>
      </c>
      <c r="AQ356" s="11"/>
      <c r="AT356" s="11"/>
      <c r="AU356" s="11"/>
      <c r="AV356" s="11"/>
      <c r="AW356" s="11"/>
      <c r="AX356" s="11"/>
      <c r="AY356" s="11"/>
    </row>
    <row r="357" spans="1:51" ht="18" customHeight="1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C357" s="11"/>
      <c r="AD357" s="11"/>
      <c r="AE357" s="11" t="s">
        <v>116</v>
      </c>
      <c r="AF357" s="11"/>
      <c r="AG357" s="58">
        <v>2.1</v>
      </c>
      <c r="AH357" s="58"/>
      <c r="AI357" s="58"/>
      <c r="AJ357" s="11" t="s">
        <v>115</v>
      </c>
      <c r="AT357" s="11"/>
      <c r="AU357" s="11"/>
      <c r="AV357" s="11"/>
      <c r="AW357" s="11"/>
      <c r="AX357" s="11"/>
      <c r="AY357" s="11"/>
    </row>
    <row r="358" spans="1:51" ht="18" customHeight="1">
      <c r="A358" s="11"/>
      <c r="B358" s="11"/>
      <c r="C358" s="11"/>
      <c r="D358" s="11"/>
      <c r="E358" s="11"/>
      <c r="F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66"/>
      <c r="AC358" s="11"/>
      <c r="AD358" s="11"/>
      <c r="AE358" s="163" t="s">
        <v>51</v>
      </c>
      <c r="AK358" s="11"/>
      <c r="AL358" s="11"/>
      <c r="AM358" s="11"/>
      <c r="AN358" s="11"/>
      <c r="AO358" s="11"/>
      <c r="AP358" s="11"/>
      <c r="AQ358" s="11"/>
      <c r="AT358" s="11"/>
      <c r="AU358" s="11"/>
      <c r="AV358" s="11"/>
      <c r="AW358" s="11"/>
      <c r="AX358" s="11"/>
      <c r="AY358" s="11"/>
    </row>
    <row r="359" spans="1:51" ht="18" customHeight="1">
      <c r="A359" s="11"/>
      <c r="B359" s="11"/>
      <c r="C359" s="11"/>
      <c r="D359" s="11"/>
      <c r="E359" s="11"/>
      <c r="F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C359" s="11"/>
      <c r="AD359" s="11"/>
      <c r="AE359" s="163" t="s">
        <v>117</v>
      </c>
      <c r="AF359" s="11"/>
      <c r="AG359" s="51">
        <f>AG356+AM356+AG365*2</f>
        <v>2.6399999999999997</v>
      </c>
      <c r="AH359" s="51"/>
      <c r="AI359" s="51"/>
      <c r="AJ359" s="11" t="s">
        <v>113</v>
      </c>
      <c r="AK359" s="163" t="s">
        <v>118</v>
      </c>
      <c r="AL359" s="11"/>
      <c r="AM359" s="51">
        <f>AG357+AG366*2</f>
        <v>2.34</v>
      </c>
      <c r="AN359" s="51"/>
      <c r="AO359" s="51"/>
      <c r="AP359" s="11" t="s">
        <v>115</v>
      </c>
      <c r="AQ359" s="11"/>
      <c r="AT359" s="11"/>
      <c r="AU359" s="11"/>
      <c r="AV359" s="11"/>
      <c r="AW359" s="11"/>
      <c r="AX359" s="11"/>
      <c r="AY359" s="11"/>
    </row>
    <row r="360" spans="1:51" ht="18" customHeight="1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67" t="str">
        <f>C381&amp;" - "&amp;AG367&amp;" x "&amp;AJ367</f>
        <v>2 - 150 x 14</v>
      </c>
      <c r="N360" s="167"/>
      <c r="O360" s="167"/>
      <c r="P360" s="167"/>
      <c r="Q360" s="167"/>
      <c r="R360" s="167"/>
      <c r="S360" s="11"/>
      <c r="T360" s="11"/>
      <c r="U360" s="11"/>
      <c r="V360" s="11"/>
      <c r="W360" s="11"/>
      <c r="X360" s="11"/>
      <c r="Y360" s="11"/>
      <c r="Z360" s="11"/>
      <c r="AA360" s="11"/>
      <c r="AC360" s="11"/>
      <c r="AD360" s="11"/>
      <c r="AE360" s="163" t="s">
        <v>119</v>
      </c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T360" s="11"/>
      <c r="AU360" s="11"/>
      <c r="AV360" s="11"/>
      <c r="AW360" s="11"/>
      <c r="AX360" s="11"/>
      <c r="AY360" s="11"/>
    </row>
    <row r="361" spans="1:81" ht="18" customHeight="1">
      <c r="A361" s="11"/>
      <c r="B361" s="11"/>
      <c r="C361" s="11"/>
      <c r="D361" s="11"/>
      <c r="E361" s="11"/>
      <c r="F361" s="11"/>
      <c r="G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C361" s="11"/>
      <c r="AD361" s="11"/>
      <c r="AE361" s="163" t="s">
        <v>120</v>
      </c>
      <c r="AF361" s="11"/>
      <c r="AG361" s="58">
        <v>2.195</v>
      </c>
      <c r="AH361" s="58"/>
      <c r="AI361" s="58"/>
      <c r="AJ361" s="11" t="s">
        <v>113</v>
      </c>
      <c r="AK361" s="163" t="s">
        <v>121</v>
      </c>
      <c r="AL361" s="11"/>
      <c r="AM361" s="58">
        <v>2.007</v>
      </c>
      <c r="AN361" s="58"/>
      <c r="AO361" s="58"/>
      <c r="AP361" s="11" t="s">
        <v>115</v>
      </c>
      <c r="AQ361" s="11"/>
      <c r="AT361" s="11"/>
      <c r="AU361" s="11"/>
      <c r="AV361" s="11"/>
      <c r="AW361" s="11"/>
      <c r="AX361" s="11"/>
      <c r="AY361" s="11"/>
      <c r="CA361" s="168"/>
      <c r="CB361" s="168"/>
      <c r="CC361" s="168"/>
    </row>
    <row r="362" spans="1:81" ht="18" customHeight="1">
      <c r="A362" s="11"/>
      <c r="B362" s="11"/>
      <c r="C362" s="11"/>
      <c r="D362" s="169" t="s">
        <v>291</v>
      </c>
      <c r="E362" s="169"/>
      <c r="F362" s="170">
        <f>DEGREES(ATAN((AG356-AG357/2)/AG355))</f>
        <v>3.301865674435001</v>
      </c>
      <c r="G362" s="170"/>
      <c r="H362" s="170"/>
      <c r="I362" s="69" t="s">
        <v>122</v>
      </c>
      <c r="J362" s="11"/>
      <c r="K362" s="11"/>
      <c r="L362" s="11"/>
      <c r="M362" s="11"/>
      <c r="N362" s="167" t="str">
        <f>C384&amp;" - "&amp;AN367&amp;" x "&amp;AQ367</f>
        <v>5 - 150 x 14</v>
      </c>
      <c r="O362" s="167"/>
      <c r="P362" s="167"/>
      <c r="Q362" s="167"/>
      <c r="R362" s="167"/>
      <c r="S362" s="167"/>
      <c r="T362" s="11"/>
      <c r="U362" s="11"/>
      <c r="V362" s="169" t="s">
        <v>292</v>
      </c>
      <c r="W362" s="169"/>
      <c r="X362" s="170">
        <f>DEGREES(ATAN((AM356-AG357/2)/AG355))</f>
        <v>3.301865674435001</v>
      </c>
      <c r="Y362" s="170"/>
      <c r="Z362" s="170"/>
      <c r="AA362" s="69" t="s">
        <v>122</v>
      </c>
      <c r="AB362" s="11"/>
      <c r="AC362" s="11"/>
      <c r="AD362" s="11"/>
      <c r="AE362" s="163" t="s">
        <v>67</v>
      </c>
      <c r="AF362" s="11"/>
      <c r="AG362" s="58">
        <v>0.021</v>
      </c>
      <c r="AH362" s="58"/>
      <c r="AI362" s="58"/>
      <c r="AJ362" s="11" t="s">
        <v>65</v>
      </c>
      <c r="AK362" s="11"/>
      <c r="AL362" s="11"/>
      <c r="AM362" s="11"/>
      <c r="AN362" s="11"/>
      <c r="AO362" s="11"/>
      <c r="AP362" s="11"/>
      <c r="AQ362" s="11"/>
      <c r="AT362" s="11"/>
      <c r="AU362" s="11"/>
      <c r="AV362" s="11"/>
      <c r="AW362" s="169"/>
      <c r="AX362" s="169"/>
      <c r="AY362" s="11"/>
      <c r="CA362" s="168"/>
      <c r="CB362" s="168"/>
      <c r="CC362" s="168"/>
    </row>
    <row r="363" spans="1:81" ht="18" customHeight="1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63" t="s">
        <v>68</v>
      </c>
      <c r="AF363" s="11"/>
      <c r="AG363" s="58">
        <v>0.021</v>
      </c>
      <c r="AH363" s="58"/>
      <c r="AI363" s="58"/>
      <c r="AJ363" s="11" t="s">
        <v>65</v>
      </c>
      <c r="AK363" s="11"/>
      <c r="AL363" s="11"/>
      <c r="AM363" s="11"/>
      <c r="AN363" s="11"/>
      <c r="AO363" s="11"/>
      <c r="AP363" s="11"/>
      <c r="AQ363" s="11"/>
      <c r="AT363" s="11"/>
      <c r="AU363" s="11"/>
      <c r="AV363" s="11"/>
      <c r="AW363" s="11"/>
      <c r="AX363" s="11"/>
      <c r="AY363" s="11"/>
      <c r="CA363" s="168"/>
      <c r="CB363" s="168"/>
      <c r="CC363" s="168"/>
    </row>
    <row r="364" spans="1:81" ht="18" customHeight="1">
      <c r="A364" s="11"/>
      <c r="B364" s="11"/>
      <c r="C364" s="11"/>
      <c r="D364" s="11"/>
      <c r="E364" s="11"/>
      <c r="F364" s="11"/>
      <c r="G364" s="11"/>
      <c r="H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63" t="s">
        <v>69</v>
      </c>
      <c r="AF364" s="11"/>
      <c r="AG364" s="58">
        <v>0.01</v>
      </c>
      <c r="AH364" s="58"/>
      <c r="AI364" s="58"/>
      <c r="AJ364" s="11" t="s">
        <v>65</v>
      </c>
      <c r="AK364" s="11"/>
      <c r="AL364" s="11"/>
      <c r="AM364" s="11"/>
      <c r="AN364" s="11"/>
      <c r="AO364" s="11"/>
      <c r="AP364" s="11"/>
      <c r="AQ364" s="11"/>
      <c r="CA364" s="168"/>
      <c r="CB364" s="168"/>
      <c r="CC364" s="168"/>
    </row>
    <row r="365" spans="1:81" ht="18" customHeight="1">
      <c r="A365" s="11"/>
      <c r="B365" s="11"/>
      <c r="E365" s="165"/>
      <c r="F365" s="165"/>
      <c r="G365" s="165"/>
      <c r="H365" s="165"/>
      <c r="I365" s="165"/>
      <c r="J365" s="171"/>
      <c r="K365" s="165"/>
      <c r="L365" s="165"/>
      <c r="M365" s="165"/>
      <c r="N365" s="165"/>
      <c r="O365" s="165"/>
      <c r="P365" s="165"/>
      <c r="Q365" s="165"/>
      <c r="R365" s="165"/>
      <c r="S365" s="165"/>
      <c r="T365" s="172"/>
      <c r="U365" s="165"/>
      <c r="V365" s="165"/>
      <c r="AD365" s="11"/>
      <c r="AE365" s="162" t="s">
        <v>123</v>
      </c>
      <c r="AG365" s="56">
        <v>0.12</v>
      </c>
      <c r="AH365" s="56"/>
      <c r="AI365" s="56"/>
      <c r="AJ365" s="162" t="s">
        <v>65</v>
      </c>
      <c r="AK365" s="11"/>
      <c r="AL365" s="11"/>
      <c r="AM365" s="11"/>
      <c r="AN365" s="11"/>
      <c r="AO365" s="11"/>
      <c r="AP365" s="11"/>
      <c r="AQ365" s="11"/>
      <c r="AX365" s="165"/>
      <c r="CA365" s="168"/>
      <c r="CB365" s="168"/>
      <c r="CC365" s="168"/>
    </row>
    <row r="366" spans="5:50" ht="18" customHeight="1">
      <c r="E366" s="165"/>
      <c r="F366" s="165"/>
      <c r="G366" s="165"/>
      <c r="H366" s="165"/>
      <c r="I366" s="165"/>
      <c r="J366" s="165"/>
      <c r="K366" s="165"/>
      <c r="N366" s="165"/>
      <c r="O366" s="165"/>
      <c r="P366" s="165"/>
      <c r="Q366" s="165"/>
      <c r="R366" s="165"/>
      <c r="S366" s="165"/>
      <c r="T366" s="165"/>
      <c r="U366" s="165"/>
      <c r="V366" s="165"/>
      <c r="AE366" s="162" t="s">
        <v>124</v>
      </c>
      <c r="AG366" s="56">
        <v>0.12</v>
      </c>
      <c r="AH366" s="56"/>
      <c r="AI366" s="56"/>
      <c r="AJ366" s="162" t="s">
        <v>65</v>
      </c>
      <c r="AX366" s="165"/>
    </row>
    <row r="367" spans="31:45" ht="18" customHeight="1">
      <c r="AE367" s="162" t="s">
        <v>70</v>
      </c>
      <c r="AG367" s="55">
        <v>150</v>
      </c>
      <c r="AH367" s="55"/>
      <c r="AI367" s="173" t="s">
        <v>125</v>
      </c>
      <c r="AJ367" s="55">
        <v>14</v>
      </c>
      <c r="AK367" s="55"/>
      <c r="AL367" s="162" t="s">
        <v>71</v>
      </c>
      <c r="AM367" s="162" t="s">
        <v>113</v>
      </c>
      <c r="AN367" s="55">
        <v>150</v>
      </c>
      <c r="AO367" s="55"/>
      <c r="AP367" s="173" t="s">
        <v>125</v>
      </c>
      <c r="AQ367" s="55">
        <v>14</v>
      </c>
      <c r="AR367" s="55"/>
      <c r="AS367" s="162" t="s">
        <v>71</v>
      </c>
    </row>
    <row r="368" spans="33:83" ht="18" customHeight="1">
      <c r="AG368" s="174"/>
      <c r="AH368" s="174"/>
      <c r="AI368" s="173"/>
      <c r="AJ368" s="174"/>
      <c r="AK368" s="174"/>
      <c r="AN368" s="174"/>
      <c r="AO368" s="174"/>
      <c r="AP368" s="173"/>
      <c r="AQ368" s="174"/>
      <c r="AR368" s="174"/>
      <c r="CA368" s="174"/>
      <c r="CB368" s="173"/>
      <c r="CD368" s="174"/>
      <c r="CE368" s="173"/>
    </row>
    <row r="369" spans="4:54" ht="18" customHeight="1">
      <c r="D369" s="175" t="s">
        <v>126</v>
      </c>
      <c r="E369" s="176"/>
      <c r="F369" s="176"/>
      <c r="G369" s="176"/>
      <c r="H369" s="176"/>
      <c r="I369" s="176"/>
      <c r="J369" s="176"/>
      <c r="K369" s="176"/>
      <c r="L369" s="176"/>
      <c r="M369" s="176"/>
      <c r="N369" s="176"/>
      <c r="O369" s="176"/>
      <c r="P369" s="176"/>
      <c r="Q369" s="176"/>
      <c r="R369" s="176"/>
      <c r="S369" s="176"/>
      <c r="T369" s="176"/>
      <c r="U369" s="176"/>
      <c r="V369" s="176"/>
      <c r="W369" s="176"/>
      <c r="X369" s="176"/>
      <c r="Y369" s="176"/>
      <c r="Z369" s="176"/>
      <c r="AA369" s="176"/>
      <c r="AB369" s="177"/>
      <c r="AC369" s="175" t="s">
        <v>127</v>
      </c>
      <c r="AD369" s="49"/>
      <c r="AE369" s="49"/>
      <c r="AF369" s="50"/>
      <c r="AG369" s="178" t="s">
        <v>128</v>
      </c>
      <c r="AH369" s="176"/>
      <c r="AI369" s="176"/>
      <c r="AJ369" s="176"/>
      <c r="AK369" s="176"/>
      <c r="AL369" s="177"/>
      <c r="AU369" s="11"/>
      <c r="AV369" s="11"/>
      <c r="AW369" s="11"/>
      <c r="AX369" s="11"/>
      <c r="AY369" s="11"/>
      <c r="AZ369" s="11"/>
      <c r="BA369" s="11"/>
      <c r="BB369" s="11"/>
    </row>
    <row r="370" spans="4:54" ht="18" customHeight="1">
      <c r="D370" s="179" t="s">
        <v>129</v>
      </c>
      <c r="E370" s="180"/>
      <c r="F370" s="180"/>
      <c r="G370" s="180"/>
      <c r="H370" s="180"/>
      <c r="I370" s="180"/>
      <c r="J370" s="180"/>
      <c r="K370" s="180"/>
      <c r="L370" s="180"/>
      <c r="M370" s="180"/>
      <c r="N370" s="180"/>
      <c r="O370" s="180"/>
      <c r="P370" s="180"/>
      <c r="Q370" s="180"/>
      <c r="R370" s="180"/>
      <c r="S370" s="180"/>
      <c r="T370" s="180"/>
      <c r="U370" s="180"/>
      <c r="V370" s="180"/>
      <c r="W370" s="180"/>
      <c r="X370" s="180"/>
      <c r="Y370" s="180"/>
      <c r="Z370" s="180"/>
      <c r="AA370" s="180"/>
      <c r="AB370" s="181"/>
      <c r="AC370" s="182" t="s">
        <v>28</v>
      </c>
      <c r="AD370" s="182"/>
      <c r="AE370" s="182"/>
      <c r="AF370" s="182"/>
      <c r="AG370" s="82">
        <v>200000</v>
      </c>
      <c r="AH370" s="83"/>
      <c r="AI370" s="83"/>
      <c r="AJ370" s="83"/>
      <c r="AK370" s="83"/>
      <c r="AL370" s="84"/>
      <c r="AU370" s="11"/>
      <c r="AV370" s="11"/>
      <c r="AW370" s="11"/>
      <c r="AX370" s="11"/>
      <c r="AY370" s="11"/>
      <c r="AZ370" s="11"/>
      <c r="BA370" s="11"/>
      <c r="BB370" s="11"/>
    </row>
    <row r="371" spans="4:54" ht="18" customHeight="1">
      <c r="D371" s="179" t="s">
        <v>52</v>
      </c>
      <c r="E371" s="180"/>
      <c r="F371" s="180"/>
      <c r="G371" s="180"/>
      <c r="H371" s="180"/>
      <c r="I371" s="180"/>
      <c r="J371" s="180"/>
      <c r="K371" s="180"/>
      <c r="L371" s="180"/>
      <c r="M371" s="180"/>
      <c r="N371" s="180"/>
      <c r="O371" s="180"/>
      <c r="P371" s="180"/>
      <c r="Q371" s="180"/>
      <c r="R371" s="180"/>
      <c r="S371" s="180"/>
      <c r="T371" s="180"/>
      <c r="U371" s="180"/>
      <c r="V371" s="180"/>
      <c r="W371" s="180"/>
      <c r="X371" s="180"/>
      <c r="Y371" s="180"/>
      <c r="Z371" s="180"/>
      <c r="AA371" s="180"/>
      <c r="AB371" s="181"/>
      <c r="AC371" s="183" t="s">
        <v>130</v>
      </c>
      <c r="AD371" s="182"/>
      <c r="AE371" s="182"/>
      <c r="AF371" s="184"/>
      <c r="AG371" s="87">
        <v>-3435.041</v>
      </c>
      <c r="AH371" s="88"/>
      <c r="AI371" s="88"/>
      <c r="AJ371" s="88"/>
      <c r="AK371" s="88"/>
      <c r="AL371" s="89"/>
      <c r="AU371" s="11"/>
      <c r="AV371" s="11"/>
      <c r="AW371" s="11"/>
      <c r="AX371" s="11"/>
      <c r="AY371" s="11"/>
      <c r="AZ371" s="11"/>
      <c r="BA371" s="11"/>
      <c r="BB371" s="11"/>
    </row>
    <row r="372" spans="4:54" ht="18" customHeight="1">
      <c r="D372" s="179" t="s">
        <v>102</v>
      </c>
      <c r="E372" s="180"/>
      <c r="F372" s="180"/>
      <c r="G372" s="180"/>
      <c r="H372" s="180"/>
      <c r="I372" s="180"/>
      <c r="J372" s="180"/>
      <c r="K372" s="180"/>
      <c r="L372" s="180"/>
      <c r="M372" s="180"/>
      <c r="N372" s="180"/>
      <c r="O372" s="180"/>
      <c r="P372" s="180"/>
      <c r="Q372" s="180"/>
      <c r="R372" s="180"/>
      <c r="S372" s="180"/>
      <c r="T372" s="180"/>
      <c r="U372" s="180"/>
      <c r="V372" s="180"/>
      <c r="W372" s="180"/>
      <c r="X372" s="180"/>
      <c r="Y372" s="180"/>
      <c r="Z372" s="180"/>
      <c r="AA372" s="180"/>
      <c r="AB372" s="181"/>
      <c r="AC372" s="183" t="s">
        <v>130</v>
      </c>
      <c r="AD372" s="182"/>
      <c r="AE372" s="182"/>
      <c r="AF372" s="184"/>
      <c r="AG372" s="87">
        <v>-2860.168</v>
      </c>
      <c r="AH372" s="88"/>
      <c r="AI372" s="88"/>
      <c r="AJ372" s="88"/>
      <c r="AK372" s="88"/>
      <c r="AL372" s="89"/>
      <c r="AU372" s="11"/>
      <c r="AV372" s="11"/>
      <c r="AW372" s="11"/>
      <c r="AX372" s="11"/>
      <c r="AY372" s="11"/>
      <c r="AZ372" s="11"/>
      <c r="BA372" s="11"/>
      <c r="BB372" s="11"/>
    </row>
    <row r="373" spans="4:54" ht="18" customHeight="1">
      <c r="D373" s="179" t="s">
        <v>53</v>
      </c>
      <c r="E373" s="180"/>
      <c r="F373" s="180"/>
      <c r="G373" s="180"/>
      <c r="H373" s="180"/>
      <c r="I373" s="180"/>
      <c r="J373" s="180"/>
      <c r="K373" s="180"/>
      <c r="L373" s="180"/>
      <c r="M373" s="180"/>
      <c r="N373" s="180"/>
      <c r="O373" s="180"/>
      <c r="P373" s="180"/>
      <c r="Q373" s="180"/>
      <c r="R373" s="180"/>
      <c r="S373" s="180"/>
      <c r="T373" s="180"/>
      <c r="U373" s="180"/>
      <c r="V373" s="180"/>
      <c r="W373" s="180"/>
      <c r="X373" s="180"/>
      <c r="Y373" s="180"/>
      <c r="Z373" s="180"/>
      <c r="AA373" s="180"/>
      <c r="AB373" s="181"/>
      <c r="AC373" s="183" t="s">
        <v>131</v>
      </c>
      <c r="AD373" s="182"/>
      <c r="AE373" s="182"/>
      <c r="AF373" s="184"/>
      <c r="AG373" s="87">
        <v>1058.779</v>
      </c>
      <c r="AH373" s="88"/>
      <c r="AI373" s="88"/>
      <c r="AJ373" s="88"/>
      <c r="AK373" s="88"/>
      <c r="AL373" s="89"/>
      <c r="AU373" s="11"/>
      <c r="AV373" s="11"/>
      <c r="AW373" s="11"/>
      <c r="AX373" s="11"/>
      <c r="AY373" s="11"/>
      <c r="AZ373" s="11"/>
      <c r="BA373" s="11"/>
      <c r="BB373" s="11"/>
    </row>
    <row r="374" spans="4:54" ht="18" customHeight="1">
      <c r="D374" s="179" t="s">
        <v>103</v>
      </c>
      <c r="E374" s="180"/>
      <c r="F374" s="180"/>
      <c r="G374" s="180"/>
      <c r="H374" s="180"/>
      <c r="I374" s="180"/>
      <c r="J374" s="180"/>
      <c r="K374" s="180"/>
      <c r="L374" s="180"/>
      <c r="M374" s="180"/>
      <c r="N374" s="180"/>
      <c r="O374" s="180"/>
      <c r="P374" s="180"/>
      <c r="Q374" s="180"/>
      <c r="R374" s="180"/>
      <c r="S374" s="180"/>
      <c r="T374" s="180"/>
      <c r="U374" s="180"/>
      <c r="V374" s="180"/>
      <c r="W374" s="180"/>
      <c r="X374" s="180"/>
      <c r="Y374" s="180"/>
      <c r="Z374" s="180"/>
      <c r="AA374" s="180"/>
      <c r="AB374" s="181"/>
      <c r="AC374" s="183" t="s">
        <v>131</v>
      </c>
      <c r="AD374" s="182"/>
      <c r="AE374" s="182"/>
      <c r="AF374" s="184"/>
      <c r="AG374" s="87">
        <v>536.031</v>
      </c>
      <c r="AH374" s="88"/>
      <c r="AI374" s="88"/>
      <c r="AJ374" s="88"/>
      <c r="AK374" s="88"/>
      <c r="AL374" s="89"/>
      <c r="AU374" s="11"/>
      <c r="AV374" s="11"/>
      <c r="AW374" s="11"/>
      <c r="AX374" s="11"/>
      <c r="AY374" s="11"/>
      <c r="AZ374" s="11"/>
      <c r="BA374" s="11"/>
      <c r="BB374" s="11"/>
    </row>
    <row r="375" spans="4:54" ht="18" customHeight="1">
      <c r="D375" s="179" t="s">
        <v>54</v>
      </c>
      <c r="E375" s="180"/>
      <c r="F375" s="180"/>
      <c r="G375" s="180"/>
      <c r="H375" s="180"/>
      <c r="I375" s="180"/>
      <c r="J375" s="180"/>
      <c r="K375" s="180"/>
      <c r="L375" s="180"/>
      <c r="M375" s="180"/>
      <c r="N375" s="180"/>
      <c r="O375" s="180"/>
      <c r="P375" s="180"/>
      <c r="Q375" s="180"/>
      <c r="R375" s="180"/>
      <c r="S375" s="180"/>
      <c r="T375" s="180"/>
      <c r="U375" s="180"/>
      <c r="V375" s="180"/>
      <c r="W375" s="180"/>
      <c r="X375" s="180"/>
      <c r="Y375" s="180"/>
      <c r="Z375" s="180"/>
      <c r="AA375" s="180"/>
      <c r="AB375" s="181"/>
      <c r="AC375" s="183" t="s">
        <v>130</v>
      </c>
      <c r="AD375" s="182"/>
      <c r="AE375" s="182"/>
      <c r="AF375" s="184"/>
      <c r="AG375" s="87">
        <v>-49.816</v>
      </c>
      <c r="AH375" s="88"/>
      <c r="AI375" s="88"/>
      <c r="AJ375" s="88"/>
      <c r="AK375" s="88"/>
      <c r="AL375" s="89"/>
      <c r="AU375" s="11"/>
      <c r="AV375" s="11"/>
      <c r="AW375" s="11"/>
      <c r="AX375" s="11"/>
      <c r="AY375" s="11"/>
      <c r="AZ375" s="11"/>
      <c r="BA375" s="11"/>
      <c r="BB375" s="11"/>
    </row>
    <row r="376" spans="4:54" ht="18" customHeight="1">
      <c r="D376" s="179" t="s">
        <v>104</v>
      </c>
      <c r="E376" s="180"/>
      <c r="F376" s="180"/>
      <c r="G376" s="180"/>
      <c r="H376" s="180"/>
      <c r="I376" s="180"/>
      <c r="J376" s="180"/>
      <c r="K376" s="180"/>
      <c r="L376" s="180"/>
      <c r="M376" s="180"/>
      <c r="N376" s="180"/>
      <c r="O376" s="180"/>
      <c r="P376" s="180"/>
      <c r="Q376" s="180"/>
      <c r="R376" s="180"/>
      <c r="S376" s="180"/>
      <c r="T376" s="180"/>
      <c r="U376" s="180"/>
      <c r="V376" s="180"/>
      <c r="W376" s="180"/>
      <c r="X376" s="180"/>
      <c r="Y376" s="180"/>
      <c r="Z376" s="180"/>
      <c r="AA376" s="180"/>
      <c r="AB376" s="181"/>
      <c r="AC376" s="183" t="s">
        <v>130</v>
      </c>
      <c r="AD376" s="182"/>
      <c r="AE376" s="182"/>
      <c r="AF376" s="184"/>
      <c r="AG376" s="87">
        <v>-286.945</v>
      </c>
      <c r="AH376" s="88"/>
      <c r="AI376" s="88"/>
      <c r="AJ376" s="88"/>
      <c r="AK376" s="88"/>
      <c r="AL376" s="89"/>
      <c r="AU376" s="11"/>
      <c r="AV376" s="11"/>
      <c r="AW376" s="11"/>
      <c r="AX376" s="11"/>
      <c r="AY376" s="11"/>
      <c r="AZ376" s="11"/>
      <c r="BA376" s="11"/>
      <c r="BB376" s="11"/>
    </row>
    <row r="377" spans="47:54" ht="18" customHeight="1">
      <c r="AU377" s="11"/>
      <c r="AV377" s="11"/>
      <c r="AW377" s="11"/>
      <c r="AX377" s="11"/>
      <c r="AY377" s="11"/>
      <c r="AZ377" s="11"/>
      <c r="BA377" s="11"/>
      <c r="BB377" s="11"/>
    </row>
    <row r="378" spans="4:54" ht="18" customHeight="1">
      <c r="D378" s="162" t="s">
        <v>132</v>
      </c>
      <c r="AU378" s="11"/>
      <c r="AV378" s="11"/>
      <c r="AW378" s="11"/>
      <c r="AX378" s="11"/>
      <c r="AY378" s="11"/>
      <c r="AZ378" s="11"/>
      <c r="BA378" s="11"/>
      <c r="BB378" s="11"/>
    </row>
    <row r="379" spans="3:54" ht="18" customHeight="1">
      <c r="C379" s="175" t="s">
        <v>133</v>
      </c>
      <c r="D379" s="176"/>
      <c r="E379" s="176"/>
      <c r="F379" s="176"/>
      <c r="G379" s="176"/>
      <c r="H379" s="176"/>
      <c r="I379" s="176"/>
      <c r="J379" s="177"/>
      <c r="K379" s="178" t="s">
        <v>134</v>
      </c>
      <c r="L379" s="176"/>
      <c r="M379" s="177"/>
      <c r="N379" s="178" t="s">
        <v>135</v>
      </c>
      <c r="O379" s="176"/>
      <c r="P379" s="177"/>
      <c r="Q379" s="178" t="s">
        <v>136</v>
      </c>
      <c r="R379" s="176"/>
      <c r="S379" s="176"/>
      <c r="T379" s="177"/>
      <c r="U379" s="178" t="s">
        <v>137</v>
      </c>
      <c r="V379" s="176"/>
      <c r="W379" s="176"/>
      <c r="X379" s="177"/>
      <c r="Y379" s="178" t="s">
        <v>138</v>
      </c>
      <c r="Z379" s="176"/>
      <c r="AA379" s="176"/>
      <c r="AB379" s="176"/>
      <c r="AC379" s="177"/>
      <c r="AD379" s="178" t="s">
        <v>29</v>
      </c>
      <c r="AE379" s="176"/>
      <c r="AF379" s="176"/>
      <c r="AG379" s="176"/>
      <c r="AH379" s="176"/>
      <c r="AI379" s="177"/>
      <c r="AJ379" s="178" t="s">
        <v>30</v>
      </c>
      <c r="AK379" s="176"/>
      <c r="AL379" s="176"/>
      <c r="AM379" s="176"/>
      <c r="AN379" s="176"/>
      <c r="AO379" s="177"/>
      <c r="AU379" s="11"/>
      <c r="AV379" s="11"/>
      <c r="AW379" s="11"/>
      <c r="AX379" s="11"/>
      <c r="AY379" s="11"/>
      <c r="AZ379" s="11"/>
      <c r="BA379" s="11"/>
      <c r="BB379" s="11"/>
    </row>
    <row r="380" spans="3:54" ht="18" customHeight="1">
      <c r="C380" s="185">
        <v>1</v>
      </c>
      <c r="D380" s="180" t="s">
        <v>72</v>
      </c>
      <c r="E380" s="180" t="s">
        <v>73</v>
      </c>
      <c r="F380" s="180"/>
      <c r="G380" s="180"/>
      <c r="H380" s="180"/>
      <c r="I380" s="180"/>
      <c r="J380" s="181"/>
      <c r="K380" s="186">
        <f>AG361*1000</f>
        <v>2195</v>
      </c>
      <c r="L380" s="187"/>
      <c r="M380" s="188"/>
      <c r="N380" s="186">
        <f>AG362*1000</f>
        <v>21</v>
      </c>
      <c r="O380" s="187"/>
      <c r="P380" s="188"/>
      <c r="Q380" s="189">
        <f aca="true" t="shared" si="9" ref="Q380:Q385">C380*K380*N380</f>
        <v>46095</v>
      </c>
      <c r="R380" s="190"/>
      <c r="S380" s="190"/>
      <c r="T380" s="191"/>
      <c r="U380" s="192">
        <f>-(N380+AG355*1000)/2</f>
        <v>-1310.5</v>
      </c>
      <c r="V380" s="193"/>
      <c r="W380" s="193"/>
      <c r="X380" s="194"/>
      <c r="Y380" s="189">
        <f aca="true" t="shared" si="10" ref="Y380:Y385">Q380*U380</f>
        <v>-60407497.5</v>
      </c>
      <c r="Z380" s="190"/>
      <c r="AA380" s="190"/>
      <c r="AB380" s="190"/>
      <c r="AC380" s="191"/>
      <c r="AD380" s="189">
        <f aca="true" t="shared" si="11" ref="AD380:AD385">U380*Y380</f>
        <v>79164025473.75</v>
      </c>
      <c r="AE380" s="190"/>
      <c r="AF380" s="190"/>
      <c r="AG380" s="190"/>
      <c r="AH380" s="190"/>
      <c r="AI380" s="191"/>
      <c r="AJ380" s="189">
        <f>C380*K380*POWER(N380,3)/12</f>
        <v>1693991.25</v>
      </c>
      <c r="AK380" s="190"/>
      <c r="AL380" s="190"/>
      <c r="AM380" s="190"/>
      <c r="AN380" s="190"/>
      <c r="AO380" s="191"/>
      <c r="AU380" s="11"/>
      <c r="AV380" s="11"/>
      <c r="AW380" s="11"/>
      <c r="AX380" s="11"/>
      <c r="AY380" s="11"/>
      <c r="AZ380" s="11"/>
      <c r="BA380" s="11"/>
      <c r="BB380" s="11"/>
    </row>
    <row r="381" spans="3:54" ht="18" customHeight="1">
      <c r="C381" s="101">
        <v>2</v>
      </c>
      <c r="D381" s="180" t="s">
        <v>72</v>
      </c>
      <c r="E381" s="180" t="s">
        <v>74</v>
      </c>
      <c r="F381" s="180"/>
      <c r="G381" s="180"/>
      <c r="H381" s="180"/>
      <c r="I381" s="180"/>
      <c r="J381" s="181"/>
      <c r="K381" s="186">
        <f>AJ367</f>
        <v>14</v>
      </c>
      <c r="L381" s="187"/>
      <c r="M381" s="188"/>
      <c r="N381" s="186">
        <f>AG367</f>
        <v>150</v>
      </c>
      <c r="O381" s="187"/>
      <c r="P381" s="188"/>
      <c r="Q381" s="189">
        <f t="shared" si="9"/>
        <v>4200</v>
      </c>
      <c r="R381" s="190"/>
      <c r="S381" s="190"/>
      <c r="T381" s="191"/>
      <c r="U381" s="192">
        <f>-(AG355*1000-N381)/2</f>
        <v>-1225</v>
      </c>
      <c r="V381" s="193"/>
      <c r="W381" s="193"/>
      <c r="X381" s="194"/>
      <c r="Y381" s="189">
        <f t="shared" si="10"/>
        <v>-5145000</v>
      </c>
      <c r="Z381" s="190"/>
      <c r="AA381" s="190"/>
      <c r="AB381" s="190"/>
      <c r="AC381" s="191"/>
      <c r="AD381" s="189">
        <f t="shared" si="11"/>
        <v>6302625000</v>
      </c>
      <c r="AE381" s="190"/>
      <c r="AF381" s="190"/>
      <c r="AG381" s="190"/>
      <c r="AH381" s="190"/>
      <c r="AI381" s="191"/>
      <c r="AJ381" s="189">
        <f>C381*K381*POWER(N381,3)/12</f>
        <v>7875000</v>
      </c>
      <c r="AK381" s="190"/>
      <c r="AL381" s="190"/>
      <c r="AM381" s="190"/>
      <c r="AN381" s="190"/>
      <c r="AO381" s="191"/>
      <c r="AU381" s="11"/>
      <c r="AV381" s="11"/>
      <c r="AW381" s="11"/>
      <c r="AX381" s="11"/>
      <c r="AY381" s="11"/>
      <c r="AZ381" s="11"/>
      <c r="BA381" s="11"/>
      <c r="BB381" s="11"/>
    </row>
    <row r="382" spans="3:54" ht="18" customHeight="1">
      <c r="C382" s="195">
        <v>1</v>
      </c>
      <c r="D382" s="196" t="s">
        <v>72</v>
      </c>
      <c r="E382" s="196" t="s">
        <v>139</v>
      </c>
      <c r="F382" s="196"/>
      <c r="G382" s="196"/>
      <c r="H382" s="196"/>
      <c r="I382" s="196"/>
      <c r="J382" s="197"/>
      <c r="K382" s="192">
        <f>AG364*1000</f>
        <v>10</v>
      </c>
      <c r="L382" s="182"/>
      <c r="M382" s="184"/>
      <c r="N382" s="192">
        <f>AG355/COS(RADIANS(F362))*1000</f>
        <v>2604.3233286210834</v>
      </c>
      <c r="O382" s="182"/>
      <c r="P382" s="184"/>
      <c r="Q382" s="198">
        <f t="shared" si="9"/>
        <v>26043.233286210834</v>
      </c>
      <c r="R382" s="199"/>
      <c r="S382" s="199"/>
      <c r="T382" s="200"/>
      <c r="U382" s="192">
        <v>0</v>
      </c>
      <c r="V382" s="193"/>
      <c r="W382" s="193"/>
      <c r="X382" s="194"/>
      <c r="Y382" s="201">
        <f t="shared" si="10"/>
        <v>0</v>
      </c>
      <c r="Z382" s="202"/>
      <c r="AA382" s="202"/>
      <c r="AB382" s="202"/>
      <c r="AC382" s="203"/>
      <c r="AD382" s="201">
        <f t="shared" si="11"/>
        <v>0</v>
      </c>
      <c r="AE382" s="202"/>
      <c r="AF382" s="202"/>
      <c r="AG382" s="202"/>
      <c r="AH382" s="202"/>
      <c r="AI382" s="203"/>
      <c r="AJ382" s="201">
        <f>C383*K383*N383/12*((N383*COS(RADIANS(F362)))^2+(K383*SIN(RADIANS(F362)))^2)</f>
        <v>14671022137.85546</v>
      </c>
      <c r="AK382" s="202"/>
      <c r="AL382" s="202"/>
      <c r="AM382" s="202"/>
      <c r="AN382" s="202"/>
      <c r="AO382" s="203"/>
      <c r="AU382" s="11"/>
      <c r="AV382" s="11"/>
      <c r="AW382" s="11"/>
      <c r="AX382" s="11"/>
      <c r="AY382" s="11"/>
      <c r="AZ382" s="11"/>
      <c r="BA382" s="11"/>
      <c r="BB382" s="11"/>
    </row>
    <row r="383" spans="3:54" ht="18" customHeight="1">
      <c r="C383" s="195">
        <v>1</v>
      </c>
      <c r="D383" s="196" t="s">
        <v>72</v>
      </c>
      <c r="E383" s="196" t="s">
        <v>140</v>
      </c>
      <c r="F383" s="196"/>
      <c r="G383" s="196"/>
      <c r="H383" s="196"/>
      <c r="I383" s="196"/>
      <c r="J383" s="197"/>
      <c r="K383" s="192">
        <f>AG364*1000</f>
        <v>10</v>
      </c>
      <c r="L383" s="182"/>
      <c r="M383" s="184"/>
      <c r="N383" s="192">
        <f>AG355/COS(RADIANS(X362))*1000</f>
        <v>2604.3233286210834</v>
      </c>
      <c r="O383" s="182"/>
      <c r="P383" s="184"/>
      <c r="Q383" s="198">
        <f t="shared" si="9"/>
        <v>26043.233286210834</v>
      </c>
      <c r="R383" s="199"/>
      <c r="S383" s="199"/>
      <c r="T383" s="200"/>
      <c r="U383" s="192">
        <v>0</v>
      </c>
      <c r="V383" s="193"/>
      <c r="W383" s="193"/>
      <c r="X383" s="194"/>
      <c r="Y383" s="201">
        <f t="shared" si="10"/>
        <v>0</v>
      </c>
      <c r="Z383" s="202"/>
      <c r="AA383" s="202"/>
      <c r="AB383" s="202"/>
      <c r="AC383" s="203"/>
      <c r="AD383" s="201">
        <f t="shared" si="11"/>
        <v>0</v>
      </c>
      <c r="AE383" s="202"/>
      <c r="AF383" s="202"/>
      <c r="AG383" s="202"/>
      <c r="AH383" s="202"/>
      <c r="AI383" s="203"/>
      <c r="AJ383" s="201">
        <f>C383*K383*N383/12*((N383*COS(RADIANS(X362)))^2+(K383*SIN(RADIANS(X362)))^2)</f>
        <v>14671022137.85546</v>
      </c>
      <c r="AK383" s="202"/>
      <c r="AL383" s="202"/>
      <c r="AM383" s="202"/>
      <c r="AN383" s="202"/>
      <c r="AO383" s="203"/>
      <c r="AU383" s="11"/>
      <c r="AV383" s="11"/>
      <c r="AW383" s="11"/>
      <c r="AX383" s="11"/>
      <c r="AY383" s="11"/>
      <c r="AZ383" s="11"/>
      <c r="BA383" s="11"/>
      <c r="BB383" s="11"/>
    </row>
    <row r="384" spans="3:41" ht="18" customHeight="1">
      <c r="C384" s="101">
        <v>5</v>
      </c>
      <c r="D384" s="180" t="s">
        <v>72</v>
      </c>
      <c r="E384" s="180" t="s">
        <v>75</v>
      </c>
      <c r="F384" s="180"/>
      <c r="G384" s="180"/>
      <c r="H384" s="180"/>
      <c r="I384" s="180"/>
      <c r="J384" s="181"/>
      <c r="K384" s="186">
        <f>AQ367</f>
        <v>14</v>
      </c>
      <c r="L384" s="187"/>
      <c r="M384" s="188"/>
      <c r="N384" s="186">
        <f>AN367</f>
        <v>150</v>
      </c>
      <c r="O384" s="187"/>
      <c r="P384" s="188"/>
      <c r="Q384" s="189">
        <f t="shared" si="9"/>
        <v>10500</v>
      </c>
      <c r="R384" s="190"/>
      <c r="S384" s="190"/>
      <c r="T384" s="191"/>
      <c r="U384" s="192">
        <f>(AG355*1000-N384)/2</f>
        <v>1225</v>
      </c>
      <c r="V384" s="193"/>
      <c r="W384" s="193"/>
      <c r="X384" s="194"/>
      <c r="Y384" s="189">
        <f t="shared" si="10"/>
        <v>12862500</v>
      </c>
      <c r="Z384" s="190"/>
      <c r="AA384" s="190"/>
      <c r="AB384" s="190"/>
      <c r="AC384" s="191"/>
      <c r="AD384" s="189">
        <f t="shared" si="11"/>
        <v>15756562500</v>
      </c>
      <c r="AE384" s="190"/>
      <c r="AF384" s="190"/>
      <c r="AG384" s="190"/>
      <c r="AH384" s="190"/>
      <c r="AI384" s="191"/>
      <c r="AJ384" s="189">
        <f>C384*K384*POWER(N384,3)/12</f>
        <v>19687500</v>
      </c>
      <c r="AK384" s="190"/>
      <c r="AL384" s="190"/>
      <c r="AM384" s="190"/>
      <c r="AN384" s="190"/>
      <c r="AO384" s="191"/>
    </row>
    <row r="385" spans="3:41" ht="18" customHeight="1">
      <c r="C385" s="185">
        <v>1</v>
      </c>
      <c r="D385" s="180" t="s">
        <v>72</v>
      </c>
      <c r="E385" s="180" t="s">
        <v>76</v>
      </c>
      <c r="F385" s="180"/>
      <c r="G385" s="180"/>
      <c r="H385" s="180"/>
      <c r="I385" s="180"/>
      <c r="J385" s="181"/>
      <c r="K385" s="186">
        <f>AM361*1000</f>
        <v>2007.0000000000002</v>
      </c>
      <c r="L385" s="187"/>
      <c r="M385" s="188"/>
      <c r="N385" s="186">
        <f>AG363*1000</f>
        <v>21</v>
      </c>
      <c r="O385" s="187"/>
      <c r="P385" s="188"/>
      <c r="Q385" s="189">
        <f t="shared" si="9"/>
        <v>42147.00000000001</v>
      </c>
      <c r="R385" s="190"/>
      <c r="S385" s="190"/>
      <c r="T385" s="191"/>
      <c r="U385" s="192">
        <f>(N385+AG355*1000)/2</f>
        <v>1310.5</v>
      </c>
      <c r="V385" s="193"/>
      <c r="W385" s="193"/>
      <c r="X385" s="194"/>
      <c r="Y385" s="189">
        <f t="shared" si="10"/>
        <v>55233643.50000001</v>
      </c>
      <c r="Z385" s="190"/>
      <c r="AA385" s="190"/>
      <c r="AB385" s="190"/>
      <c r="AC385" s="191"/>
      <c r="AD385" s="189">
        <f t="shared" si="11"/>
        <v>72383689806.75002</v>
      </c>
      <c r="AE385" s="190"/>
      <c r="AF385" s="190"/>
      <c r="AG385" s="190"/>
      <c r="AH385" s="190"/>
      <c r="AI385" s="191"/>
      <c r="AJ385" s="189">
        <f>C385*K385*POWER(N385,3)/12</f>
        <v>1548902.2500000002</v>
      </c>
      <c r="AK385" s="190"/>
      <c r="AL385" s="190"/>
      <c r="AM385" s="190"/>
      <c r="AN385" s="190"/>
      <c r="AO385" s="191"/>
    </row>
    <row r="386" spans="3:41" ht="18" customHeight="1">
      <c r="C386" s="204" t="s">
        <v>141</v>
      </c>
      <c r="D386" s="187"/>
      <c r="E386" s="187"/>
      <c r="F386" s="187"/>
      <c r="G386" s="187"/>
      <c r="H386" s="187"/>
      <c r="I386" s="187"/>
      <c r="J386" s="188"/>
      <c r="K386" s="179"/>
      <c r="L386" s="180"/>
      <c r="M386" s="181"/>
      <c r="N386" s="179"/>
      <c r="O386" s="180"/>
      <c r="P386" s="181"/>
      <c r="Q386" s="205">
        <f>SUM(Q380:Q385)</f>
        <v>155028.46657242166</v>
      </c>
      <c r="R386" s="206"/>
      <c r="S386" s="206"/>
      <c r="T386" s="207"/>
      <c r="U386" s="208"/>
      <c r="V386" s="209"/>
      <c r="W386" s="209"/>
      <c r="X386" s="210"/>
      <c r="Y386" s="189">
        <f>SUM(Y380:Y385)</f>
        <v>2543646.0000000075</v>
      </c>
      <c r="Z386" s="190"/>
      <c r="AA386" s="190"/>
      <c r="AB386" s="190"/>
      <c r="AC386" s="191"/>
      <c r="AD386" s="189">
        <f>SUM(AD380:AD385)</f>
        <v>173606902780.5</v>
      </c>
      <c r="AE386" s="190"/>
      <c r="AF386" s="190"/>
      <c r="AG386" s="190"/>
      <c r="AH386" s="190"/>
      <c r="AI386" s="191"/>
      <c r="AJ386" s="189">
        <f>SUM(AJ380:AJ385)</f>
        <v>29372849669.21092</v>
      </c>
      <c r="AK386" s="190"/>
      <c r="AL386" s="190"/>
      <c r="AM386" s="190"/>
      <c r="AN386" s="190"/>
      <c r="AO386" s="191"/>
    </row>
    <row r="387" spans="7:20" ht="18" customHeight="1">
      <c r="G387" s="211"/>
      <c r="H387" s="211"/>
      <c r="I387" s="211"/>
      <c r="J387" s="211"/>
      <c r="K387" s="11"/>
      <c r="P387" s="212"/>
      <c r="Q387" s="212"/>
      <c r="R387" s="212"/>
      <c r="S387" s="212"/>
      <c r="T387" s="11"/>
    </row>
    <row r="388" spans="7:20" ht="18" customHeight="1">
      <c r="G388" s="211"/>
      <c r="H388" s="211"/>
      <c r="I388" s="211"/>
      <c r="J388" s="211"/>
      <c r="K388" s="11"/>
      <c r="P388" s="212"/>
      <c r="Q388" s="212"/>
      <c r="R388" s="212"/>
      <c r="S388" s="212"/>
      <c r="T388" s="11"/>
    </row>
    <row r="389" ht="18" customHeight="1">
      <c r="A389" s="213" t="s">
        <v>143</v>
      </c>
    </row>
    <row r="400" ht="18" customHeight="1">
      <c r="B400" s="162" t="s">
        <v>144</v>
      </c>
    </row>
    <row r="401" spans="3:32" ht="18" customHeight="1">
      <c r="C401" s="162" t="s">
        <v>77</v>
      </c>
      <c r="L401" s="214">
        <f>AD386</f>
        <v>173606902780.5</v>
      </c>
      <c r="M401" s="214"/>
      <c r="N401" s="214"/>
      <c r="O401" s="214"/>
      <c r="P401" s="214"/>
      <c r="Q401" s="162" t="s">
        <v>78</v>
      </c>
      <c r="R401" s="215">
        <f>AJ386</f>
        <v>29372849669.21092</v>
      </c>
      <c r="S401" s="215"/>
      <c r="T401" s="215"/>
      <c r="U401" s="215"/>
      <c r="V401" s="215"/>
      <c r="W401" s="215"/>
      <c r="X401" s="215"/>
      <c r="Y401" s="162" t="s">
        <v>79</v>
      </c>
      <c r="Z401" s="214">
        <f>L401+R401</f>
        <v>202979752449.7109</v>
      </c>
      <c r="AA401" s="214"/>
      <c r="AB401" s="214"/>
      <c r="AC401" s="214"/>
      <c r="AD401" s="214"/>
      <c r="AE401" s="214"/>
      <c r="AF401" s="9" t="s">
        <v>31</v>
      </c>
    </row>
    <row r="402" spans="2:46" ht="18" customHeight="1">
      <c r="B402" s="11"/>
      <c r="C402" s="11" t="s">
        <v>80</v>
      </c>
      <c r="D402" s="11"/>
      <c r="E402" s="11"/>
      <c r="F402" s="11"/>
      <c r="G402" s="11"/>
      <c r="H402" s="11"/>
      <c r="I402" s="11"/>
      <c r="J402" s="11"/>
      <c r="K402" s="11"/>
      <c r="L402" s="216">
        <f>Y386</f>
        <v>2543646.0000000075</v>
      </c>
      <c r="M402" s="216"/>
      <c r="N402" s="216"/>
      <c r="O402" s="216"/>
      <c r="P402" s="216"/>
      <c r="Q402" s="11" t="s">
        <v>81</v>
      </c>
      <c r="R402" s="216">
        <f>Q386</f>
        <v>155028.46657242166</v>
      </c>
      <c r="S402" s="216"/>
      <c r="T402" s="216"/>
      <c r="U402" s="216"/>
      <c r="V402" s="216"/>
      <c r="W402" s="11" t="s">
        <v>79</v>
      </c>
      <c r="X402" s="217">
        <f>L402/R402</f>
        <v>16.407606010936973</v>
      </c>
      <c r="Y402" s="217"/>
      <c r="Z402" s="217"/>
      <c r="AA402" s="217"/>
      <c r="AB402" s="217"/>
      <c r="AC402" s="217"/>
      <c r="AD402" s="10" t="s">
        <v>145</v>
      </c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</row>
    <row r="403" spans="2:46" ht="18" customHeight="1">
      <c r="B403" s="11"/>
      <c r="C403" s="11" t="s">
        <v>82</v>
      </c>
      <c r="D403" s="11"/>
      <c r="E403" s="11"/>
      <c r="F403" s="11"/>
      <c r="G403" s="11"/>
      <c r="H403" s="11"/>
      <c r="I403" s="11"/>
      <c r="J403" s="11"/>
      <c r="K403" s="11"/>
      <c r="L403" s="216">
        <f>Z401</f>
        <v>202979752449.7109</v>
      </c>
      <c r="M403" s="216"/>
      <c r="N403" s="216"/>
      <c r="O403" s="216"/>
      <c r="P403" s="216"/>
      <c r="Q403" s="11" t="s">
        <v>72</v>
      </c>
      <c r="R403" s="216">
        <f>Q386</f>
        <v>155028.46657242166</v>
      </c>
      <c r="S403" s="216"/>
      <c r="T403" s="216"/>
      <c r="U403" s="216"/>
      <c r="V403" s="216"/>
      <c r="W403" s="11" t="s">
        <v>83</v>
      </c>
      <c r="X403" s="218">
        <f>X402</f>
        <v>16.407606010936973</v>
      </c>
      <c r="Y403" s="51"/>
      <c r="Z403" s="51"/>
      <c r="AA403" s="51"/>
      <c r="AB403" s="51"/>
      <c r="AC403" s="11" t="s">
        <v>79</v>
      </c>
      <c r="AD403" s="216">
        <f>L403-R403*X403^2</f>
        <v>202938017308.3116</v>
      </c>
      <c r="AE403" s="216"/>
      <c r="AF403" s="216"/>
      <c r="AG403" s="216"/>
      <c r="AH403" s="216"/>
      <c r="AI403" s="216"/>
      <c r="AJ403" s="9" t="s">
        <v>31</v>
      </c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</row>
    <row r="404" spans="2:46" ht="18" customHeight="1">
      <c r="B404" s="11"/>
      <c r="C404" s="11" t="s">
        <v>146</v>
      </c>
      <c r="D404" s="11"/>
      <c r="E404" s="11"/>
      <c r="F404" s="11"/>
      <c r="G404" s="11"/>
      <c r="H404" s="11"/>
      <c r="I404" s="11"/>
      <c r="J404" s="11"/>
      <c r="K404" s="11"/>
      <c r="L404" s="11"/>
      <c r="M404" s="219">
        <f>-AG355*1000</f>
        <v>-2600</v>
      </c>
      <c r="N404" s="51"/>
      <c r="O404" s="51"/>
      <c r="P404" s="51"/>
      <c r="Q404" s="11" t="s">
        <v>84</v>
      </c>
      <c r="R404" s="11"/>
      <c r="S404" s="11"/>
      <c r="T404" s="11" t="s">
        <v>147</v>
      </c>
      <c r="U404" s="219">
        <f>N380</f>
        <v>21</v>
      </c>
      <c r="V404" s="51"/>
      <c r="W404" s="11" t="s">
        <v>72</v>
      </c>
      <c r="X404" s="51">
        <f>X403</f>
        <v>16.407606010936973</v>
      </c>
      <c r="Y404" s="51"/>
      <c r="Z404" s="51"/>
      <c r="AA404" s="51"/>
      <c r="AB404" s="51"/>
      <c r="AC404" s="11" t="s">
        <v>79</v>
      </c>
      <c r="AD404" s="51">
        <f>M404/2-U404-X404</f>
        <v>-1337.407606010937</v>
      </c>
      <c r="AE404" s="51"/>
      <c r="AF404" s="51"/>
      <c r="AG404" s="51"/>
      <c r="AH404" s="51"/>
      <c r="AI404" s="51"/>
      <c r="AJ404" s="10" t="s">
        <v>145</v>
      </c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</row>
    <row r="405" spans="1:46" ht="18" customHeight="1">
      <c r="A405" s="11"/>
      <c r="B405" s="11"/>
      <c r="C405" s="11" t="s">
        <v>148</v>
      </c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51">
        <f>AD404</f>
        <v>-1337.407606010937</v>
      </c>
      <c r="Q405" s="51"/>
      <c r="R405" s="51"/>
      <c r="S405" s="51"/>
      <c r="T405" s="51"/>
      <c r="U405" s="11" t="s">
        <v>149</v>
      </c>
      <c r="V405" s="51">
        <f>(AG355+AG362+AG363)*1000</f>
        <v>2642</v>
      </c>
      <c r="W405" s="51"/>
      <c r="X405" s="51"/>
      <c r="Y405" s="51"/>
      <c r="Z405" s="11" t="s">
        <v>79</v>
      </c>
      <c r="AA405" s="51">
        <f>P405+V405</f>
        <v>1304.592393989063</v>
      </c>
      <c r="AB405" s="51"/>
      <c r="AC405" s="51"/>
      <c r="AD405" s="51"/>
      <c r="AE405" s="51"/>
      <c r="AF405" s="10" t="s">
        <v>145</v>
      </c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</row>
    <row r="406" spans="1:46" ht="18" customHeight="1">
      <c r="A406" s="11"/>
      <c r="B406" s="11"/>
      <c r="C406" s="11" t="s">
        <v>150</v>
      </c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 t="s">
        <v>151</v>
      </c>
      <c r="AB406" s="219">
        <f>((AG356+AM356+AG357)/2+AG364)*(AG355+AG362/2+AG363/2)*1000000</f>
        <v>5923459.999999999</v>
      </c>
      <c r="AC406" s="219"/>
      <c r="AD406" s="219"/>
      <c r="AE406" s="219"/>
      <c r="AF406" s="219"/>
      <c r="AG406" s="11" t="s">
        <v>142</v>
      </c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</row>
    <row r="407" spans="1:46" ht="18" customHeight="1">
      <c r="A407" s="11"/>
      <c r="B407" s="11"/>
      <c r="C407" s="11" t="s">
        <v>55</v>
      </c>
      <c r="D407" s="11"/>
      <c r="E407" s="11"/>
      <c r="F407" s="11"/>
      <c r="G407" s="11"/>
      <c r="H407" s="11"/>
      <c r="I407" s="11"/>
      <c r="J407" s="11"/>
      <c r="K407" s="11"/>
      <c r="L407" s="11"/>
      <c r="M407" s="51">
        <f>AG371*1000000*P405/AD403</f>
        <v>22.637700029265336</v>
      </c>
      <c r="N407" s="51"/>
      <c r="O407" s="51"/>
      <c r="P407" s="51"/>
      <c r="Q407" s="51"/>
      <c r="R407" s="11" t="s">
        <v>28</v>
      </c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</row>
    <row r="408" spans="1:46" ht="18" customHeight="1">
      <c r="A408" s="11"/>
      <c r="B408" s="11"/>
      <c r="C408" s="11" t="s">
        <v>56</v>
      </c>
      <c r="D408" s="11"/>
      <c r="E408" s="11"/>
      <c r="F408" s="11"/>
      <c r="G408" s="11"/>
      <c r="H408" s="11"/>
      <c r="I408" s="11"/>
      <c r="J408" s="11"/>
      <c r="K408" s="11"/>
      <c r="L408" s="11"/>
      <c r="M408" s="51">
        <f>AG371*1000000*AA405/AD403</f>
        <v>-22.08225162086003</v>
      </c>
      <c r="N408" s="51"/>
      <c r="O408" s="51"/>
      <c r="P408" s="51"/>
      <c r="Q408" s="51"/>
      <c r="R408" s="11" t="s">
        <v>28</v>
      </c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</row>
    <row r="409" spans="1:45" ht="18" customHeight="1">
      <c r="A409" s="11"/>
      <c r="B409" s="11"/>
      <c r="C409" s="11" t="s">
        <v>57</v>
      </c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51">
        <f>ABS(AG373)*1000/(Q382+Q383)+ABS(AG375)*1000000/(2*AB406*AG364*1000)</f>
        <v>20.747831423885962</v>
      </c>
      <c r="T409" s="51"/>
      <c r="U409" s="51"/>
      <c r="V409" s="51"/>
      <c r="W409" s="51"/>
      <c r="X409" s="11" t="s">
        <v>28</v>
      </c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</row>
    <row r="410" spans="1:45" ht="18" customHeight="1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</row>
    <row r="411" spans="1:45" ht="18" customHeight="1">
      <c r="A411" s="11"/>
      <c r="B411" s="11" t="s">
        <v>58</v>
      </c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</row>
    <row r="412" spans="1:45" ht="18" customHeight="1">
      <c r="A412" s="11"/>
      <c r="B412" s="11"/>
      <c r="C412" s="11" t="s">
        <v>105</v>
      </c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51">
        <f>AG372*1000000/AD403*AD404</f>
        <v>18.849156448876087</v>
      </c>
      <c r="O412" s="51"/>
      <c r="P412" s="51"/>
      <c r="Q412" s="51"/>
      <c r="R412" s="51"/>
      <c r="S412" s="11" t="s">
        <v>28</v>
      </c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</row>
    <row r="413" spans="1:45" ht="18" customHeight="1">
      <c r="A413" s="11"/>
      <c r="B413" s="11"/>
      <c r="C413" s="11" t="s">
        <v>106</v>
      </c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51">
        <f>AG372*1000000/AD403*AA405</f>
        <v>-18.386665385924648</v>
      </c>
      <c r="O413" s="51"/>
      <c r="P413" s="51"/>
      <c r="Q413" s="51"/>
      <c r="R413" s="51"/>
      <c r="S413" s="11" t="s">
        <v>28</v>
      </c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</row>
    <row r="414" spans="1:45" ht="18" customHeight="1">
      <c r="A414" s="11"/>
      <c r="B414" s="11"/>
      <c r="C414" s="11" t="s">
        <v>107</v>
      </c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51">
        <f>ABS(AG374)*1000/(Q382+Q383)+ABS(AG376)*100000/(2*AB406*AG364*100)</f>
        <v>12.713282437966935</v>
      </c>
      <c r="T414" s="51"/>
      <c r="U414" s="51"/>
      <c r="V414" s="51"/>
      <c r="W414" s="51"/>
      <c r="X414" s="11" t="s">
        <v>28</v>
      </c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</row>
    <row r="415" spans="1:45" ht="18" customHeight="1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</row>
    <row r="416" spans="1:54" ht="18" customHeight="1">
      <c r="A416" s="11"/>
      <c r="B416" s="11" t="s">
        <v>59</v>
      </c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U416" s="12" t="s">
        <v>32</v>
      </c>
      <c r="AV416" s="12"/>
      <c r="AW416" s="12"/>
      <c r="AX416" s="12"/>
      <c r="AY416" s="12"/>
      <c r="AZ416" s="12"/>
      <c r="BA416" s="12"/>
      <c r="BB416" s="12"/>
    </row>
    <row r="417" spans="1:88" ht="18" customHeight="1">
      <c r="A417" s="11"/>
      <c r="B417" s="11"/>
      <c r="C417" s="11" t="s">
        <v>108</v>
      </c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51">
        <f>ABS((AG373+AG374)*1000/(Q382+Q383))+ABS((AG375+AG376)/(2*AB406*AG364*1000))*1000000</f>
        <v>33.461113861852894</v>
      </c>
      <c r="AA417" s="51"/>
      <c r="AB417" s="51"/>
      <c r="AC417" s="51"/>
      <c r="AD417" s="11" t="s">
        <v>28</v>
      </c>
      <c r="AE417" s="11"/>
      <c r="AF417" s="11" t="s">
        <v>86</v>
      </c>
      <c r="AG417" s="11" t="s">
        <v>87</v>
      </c>
      <c r="AH417" s="11"/>
      <c r="AI417" s="11"/>
      <c r="AJ417" s="220">
        <f>HLOOKUP(AG353,AX417:CJ420,AU417,FALSE)</f>
        <v>120</v>
      </c>
      <c r="AK417" s="51"/>
      <c r="AL417" s="51"/>
      <c r="AM417" s="11" t="s">
        <v>28</v>
      </c>
      <c r="AN417" s="11"/>
      <c r="AO417" s="11"/>
      <c r="AP417" s="11" t="str">
        <f>IF(Z417&lt;AJ417,"O.K.","N.G.")</f>
        <v>O.K.</v>
      </c>
      <c r="AQ417" s="11"/>
      <c r="AR417" s="11"/>
      <c r="AS417" s="11"/>
      <c r="AU417" s="221">
        <f>IF(AG364&lt;=0.04,2,IF(AG364&lt;=0.075,3,4))</f>
        <v>2</v>
      </c>
      <c r="AV417" s="222"/>
      <c r="AW417" s="223"/>
      <c r="AX417" s="43" t="s">
        <v>4</v>
      </c>
      <c r="AY417" s="44"/>
      <c r="AZ417" s="45"/>
      <c r="BA417" s="43" t="s">
        <v>5</v>
      </c>
      <c r="BB417" s="44"/>
      <c r="BC417" s="45"/>
      <c r="BD417" s="43" t="s">
        <v>6</v>
      </c>
      <c r="BE417" s="44"/>
      <c r="BF417" s="45"/>
      <c r="BG417" s="43" t="s">
        <v>7</v>
      </c>
      <c r="BH417" s="44"/>
      <c r="BI417" s="45"/>
      <c r="BJ417" s="43" t="s">
        <v>88</v>
      </c>
      <c r="BK417" s="44"/>
      <c r="BL417" s="45"/>
      <c r="BM417" s="224" t="s">
        <v>8</v>
      </c>
      <c r="BN417" s="225"/>
      <c r="BO417" s="226"/>
      <c r="BP417" s="43" t="s">
        <v>9</v>
      </c>
      <c r="BQ417" s="44"/>
      <c r="BR417" s="45"/>
      <c r="BS417" s="43" t="s">
        <v>10</v>
      </c>
      <c r="BT417" s="44"/>
      <c r="BU417" s="45"/>
      <c r="BV417" s="43" t="s">
        <v>11</v>
      </c>
      <c r="BW417" s="44"/>
      <c r="BX417" s="45"/>
      <c r="BY417" s="224" t="s">
        <v>12</v>
      </c>
      <c r="BZ417" s="225"/>
      <c r="CA417" s="226"/>
      <c r="CB417" s="43" t="s">
        <v>13</v>
      </c>
      <c r="CC417" s="44"/>
      <c r="CD417" s="45"/>
      <c r="CE417" s="43" t="s">
        <v>14</v>
      </c>
      <c r="CF417" s="44"/>
      <c r="CG417" s="45"/>
      <c r="CH417" s="224" t="s">
        <v>15</v>
      </c>
      <c r="CI417" s="225"/>
      <c r="CJ417" s="226"/>
    </row>
    <row r="418" spans="1:88" ht="18" customHeight="1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U418" s="36">
        <v>40</v>
      </c>
      <c r="AV418" s="37"/>
      <c r="AW418" s="38"/>
      <c r="AX418" s="36">
        <v>80</v>
      </c>
      <c r="AY418" s="37"/>
      <c r="AZ418" s="38"/>
      <c r="BA418" s="36">
        <f>AX418</f>
        <v>80</v>
      </c>
      <c r="BB418" s="37"/>
      <c r="BC418" s="38"/>
      <c r="BD418" s="36">
        <f>AX418</f>
        <v>80</v>
      </c>
      <c r="BE418" s="37"/>
      <c r="BF418" s="38"/>
      <c r="BG418" s="36">
        <v>80</v>
      </c>
      <c r="BH418" s="37"/>
      <c r="BI418" s="38"/>
      <c r="BJ418" s="36">
        <v>105</v>
      </c>
      <c r="BK418" s="37"/>
      <c r="BL418" s="38"/>
      <c r="BM418" s="36">
        <v>105</v>
      </c>
      <c r="BN418" s="37"/>
      <c r="BO418" s="38"/>
      <c r="BP418" s="36">
        <v>120</v>
      </c>
      <c r="BQ418" s="37"/>
      <c r="BR418" s="38"/>
      <c r="BS418" s="36">
        <f>BP418</f>
        <v>120</v>
      </c>
      <c r="BT418" s="37"/>
      <c r="BU418" s="38"/>
      <c r="BV418" s="36">
        <f>BP418</f>
        <v>120</v>
      </c>
      <c r="BW418" s="37"/>
      <c r="BX418" s="38"/>
      <c r="BY418" s="36">
        <v>120</v>
      </c>
      <c r="BZ418" s="37"/>
      <c r="CA418" s="38"/>
      <c r="CB418" s="36">
        <v>145</v>
      </c>
      <c r="CC418" s="37"/>
      <c r="CD418" s="38"/>
      <c r="CE418" s="36">
        <f>CB418</f>
        <v>145</v>
      </c>
      <c r="CF418" s="37"/>
      <c r="CG418" s="38"/>
      <c r="CH418" s="36">
        <v>145</v>
      </c>
      <c r="CI418" s="37"/>
      <c r="CJ418" s="38"/>
    </row>
    <row r="419" spans="1:88" ht="18" customHeight="1">
      <c r="A419" s="11"/>
      <c r="B419" s="11" t="s">
        <v>60</v>
      </c>
      <c r="C419" s="11"/>
      <c r="D419" s="11"/>
      <c r="E419" s="11"/>
      <c r="F419" s="11"/>
      <c r="G419" s="11"/>
      <c r="H419" s="11"/>
      <c r="I419" s="11"/>
      <c r="J419" s="11"/>
      <c r="K419" s="227"/>
      <c r="L419" s="11"/>
      <c r="M419" s="11"/>
      <c r="N419" s="11"/>
      <c r="O419" s="11"/>
      <c r="P419" s="11"/>
      <c r="Q419" s="11"/>
      <c r="R419" s="11"/>
      <c r="S419" s="11"/>
      <c r="T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U419" s="228" t="s">
        <v>16</v>
      </c>
      <c r="AV419" s="229"/>
      <c r="AW419" s="230"/>
      <c r="AX419" s="36">
        <v>75</v>
      </c>
      <c r="AY419" s="37"/>
      <c r="AZ419" s="38"/>
      <c r="BA419" s="36">
        <f>AX419</f>
        <v>75</v>
      </c>
      <c r="BB419" s="37"/>
      <c r="BC419" s="38"/>
      <c r="BD419" s="36">
        <f>AX419</f>
        <v>75</v>
      </c>
      <c r="BE419" s="37"/>
      <c r="BF419" s="38"/>
      <c r="BG419" s="36">
        <v>80</v>
      </c>
      <c r="BH419" s="37"/>
      <c r="BI419" s="38"/>
      <c r="BJ419" s="36">
        <v>100</v>
      </c>
      <c r="BK419" s="37"/>
      <c r="BL419" s="38"/>
      <c r="BM419" s="36">
        <v>105</v>
      </c>
      <c r="BN419" s="37"/>
      <c r="BO419" s="38"/>
      <c r="BP419" s="36">
        <v>115</v>
      </c>
      <c r="BQ419" s="37"/>
      <c r="BR419" s="38"/>
      <c r="BS419" s="36">
        <f>BP419</f>
        <v>115</v>
      </c>
      <c r="BT419" s="37"/>
      <c r="BU419" s="38"/>
      <c r="BV419" s="36">
        <f>BP419</f>
        <v>115</v>
      </c>
      <c r="BW419" s="37"/>
      <c r="BX419" s="38"/>
      <c r="BY419" s="36">
        <v>120</v>
      </c>
      <c r="BZ419" s="37"/>
      <c r="CA419" s="38"/>
      <c r="CB419" s="36">
        <v>140</v>
      </c>
      <c r="CC419" s="37"/>
      <c r="CD419" s="38"/>
      <c r="CE419" s="36">
        <f>CB419</f>
        <v>140</v>
      </c>
      <c r="CF419" s="37"/>
      <c r="CG419" s="38"/>
      <c r="CH419" s="36">
        <v>145</v>
      </c>
      <c r="CI419" s="37"/>
      <c r="CJ419" s="38"/>
    </row>
    <row r="420" spans="1:88" ht="18" customHeight="1">
      <c r="A420" s="11"/>
      <c r="B420" s="11"/>
      <c r="C420" s="11" t="s">
        <v>293</v>
      </c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U420" s="228" t="s">
        <v>17</v>
      </c>
      <c r="AV420" s="229"/>
      <c r="AW420" s="230"/>
      <c r="AX420" s="36">
        <v>75</v>
      </c>
      <c r="AY420" s="37"/>
      <c r="AZ420" s="38"/>
      <c r="BA420" s="36">
        <f>AX420</f>
        <v>75</v>
      </c>
      <c r="BB420" s="37"/>
      <c r="BC420" s="38"/>
      <c r="BD420" s="36">
        <f>AX420</f>
        <v>75</v>
      </c>
      <c r="BE420" s="37"/>
      <c r="BF420" s="38"/>
      <c r="BG420" s="36">
        <v>80</v>
      </c>
      <c r="BH420" s="37"/>
      <c r="BI420" s="38"/>
      <c r="BJ420" s="36">
        <v>100</v>
      </c>
      <c r="BK420" s="37"/>
      <c r="BL420" s="38"/>
      <c r="BM420" s="36">
        <v>105</v>
      </c>
      <c r="BN420" s="37"/>
      <c r="BO420" s="38"/>
      <c r="BP420" s="36">
        <v>110</v>
      </c>
      <c r="BQ420" s="37"/>
      <c r="BR420" s="38"/>
      <c r="BS420" s="36">
        <f>BP420</f>
        <v>110</v>
      </c>
      <c r="BT420" s="37"/>
      <c r="BU420" s="38"/>
      <c r="BV420" s="36">
        <f>BP420</f>
        <v>110</v>
      </c>
      <c r="BW420" s="37"/>
      <c r="BX420" s="38"/>
      <c r="BY420" s="36">
        <v>120</v>
      </c>
      <c r="BZ420" s="37"/>
      <c r="CA420" s="38"/>
      <c r="CB420" s="36">
        <v>135</v>
      </c>
      <c r="CC420" s="37"/>
      <c r="CD420" s="38"/>
      <c r="CE420" s="36">
        <f>CB420</f>
        <v>135</v>
      </c>
      <c r="CF420" s="37"/>
      <c r="CG420" s="38"/>
      <c r="CH420" s="36">
        <v>145</v>
      </c>
      <c r="CI420" s="37"/>
      <c r="CJ420" s="38"/>
    </row>
    <row r="421" spans="1:57" ht="18" customHeight="1">
      <c r="A421" s="11"/>
      <c r="B421" s="11"/>
      <c r="C421" s="11"/>
      <c r="D421" s="11" t="s">
        <v>79</v>
      </c>
      <c r="E421" s="51">
        <v>0.65</v>
      </c>
      <c r="F421" s="51"/>
      <c r="G421" s="51"/>
      <c r="H421" s="11" t="s">
        <v>83</v>
      </c>
      <c r="I421" s="11" t="s">
        <v>85</v>
      </c>
      <c r="J421" s="219">
        <v>0</v>
      </c>
      <c r="K421" s="51"/>
      <c r="L421" s="11" t="s">
        <v>81</v>
      </c>
      <c r="M421" s="220">
        <f>IF((AG371+AG372)&gt;=0,C381+1,C384+1)</f>
        <v>6</v>
      </c>
      <c r="N421" s="51"/>
      <c r="O421" s="11" t="s">
        <v>294</v>
      </c>
      <c r="P421" s="11" t="s">
        <v>78</v>
      </c>
      <c r="Q421" s="51">
        <v>0.13</v>
      </c>
      <c r="R421" s="51"/>
      <c r="S421" s="51"/>
      <c r="T421" s="11" t="s">
        <v>83</v>
      </c>
      <c r="U421" s="11" t="s">
        <v>85</v>
      </c>
      <c r="V421" s="219">
        <v>0</v>
      </c>
      <c r="W421" s="51"/>
      <c r="X421" s="11" t="s">
        <v>81</v>
      </c>
      <c r="Y421" s="220">
        <f>M421</f>
        <v>6</v>
      </c>
      <c r="Z421" s="51"/>
      <c r="AA421" s="11" t="s">
        <v>89</v>
      </c>
      <c r="AB421" s="11" t="s">
        <v>78</v>
      </c>
      <c r="AC421" s="219">
        <v>1</v>
      </c>
      <c r="AD421" s="51"/>
      <c r="AE421" s="11" t="s">
        <v>79</v>
      </c>
      <c r="AF421" s="51">
        <v>1</v>
      </c>
      <c r="AG421" s="51"/>
      <c r="AH421" s="51"/>
      <c r="AI421" s="5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U421" s="13" t="s">
        <v>33</v>
      </c>
      <c r="AV421" s="13"/>
      <c r="AW421" s="13"/>
      <c r="AX421" s="13"/>
      <c r="AY421" s="13"/>
      <c r="AZ421" s="13"/>
      <c r="BA421" s="13"/>
      <c r="BB421" s="13"/>
      <c r="BC421" s="13"/>
      <c r="BD421" s="13"/>
      <c r="BE421" s="13"/>
    </row>
    <row r="422" spans="1:88" ht="18" customHeight="1">
      <c r="A422" s="11"/>
      <c r="B422" s="11"/>
      <c r="C422" s="11"/>
      <c r="D422" s="11" t="s">
        <v>34</v>
      </c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231"/>
      <c r="AU422" s="36">
        <f>IF(AG363&lt;=0.04,2,IF(AG363&lt;=0.075,3,4))</f>
        <v>2</v>
      </c>
      <c r="AV422" s="37"/>
      <c r="AW422" s="38"/>
      <c r="AX422" s="43" t="s">
        <v>4</v>
      </c>
      <c r="AY422" s="44"/>
      <c r="AZ422" s="45"/>
      <c r="BA422" s="43" t="s">
        <v>5</v>
      </c>
      <c r="BB422" s="44"/>
      <c r="BC422" s="45"/>
      <c r="BD422" s="43" t="s">
        <v>6</v>
      </c>
      <c r="BE422" s="44"/>
      <c r="BF422" s="45"/>
      <c r="BG422" s="43" t="s">
        <v>7</v>
      </c>
      <c r="BH422" s="44"/>
      <c r="BI422" s="45"/>
      <c r="BJ422" s="43" t="s">
        <v>88</v>
      </c>
      <c r="BK422" s="44"/>
      <c r="BL422" s="45"/>
      <c r="BM422" s="224" t="s">
        <v>8</v>
      </c>
      <c r="BN422" s="225"/>
      <c r="BO422" s="226"/>
      <c r="BP422" s="43" t="s">
        <v>9</v>
      </c>
      <c r="BQ422" s="44"/>
      <c r="BR422" s="45"/>
      <c r="BS422" s="43" t="s">
        <v>10</v>
      </c>
      <c r="BT422" s="44"/>
      <c r="BU422" s="45"/>
      <c r="BV422" s="43" t="s">
        <v>11</v>
      </c>
      <c r="BW422" s="44"/>
      <c r="BX422" s="45"/>
      <c r="BY422" s="224" t="s">
        <v>12</v>
      </c>
      <c r="BZ422" s="225"/>
      <c r="CA422" s="226"/>
      <c r="CB422" s="43" t="s">
        <v>13</v>
      </c>
      <c r="CC422" s="44"/>
      <c r="CD422" s="45"/>
      <c r="CE422" s="43" t="s">
        <v>14</v>
      </c>
      <c r="CF422" s="44"/>
      <c r="CG422" s="45"/>
      <c r="CH422" s="224" t="s">
        <v>15</v>
      </c>
      <c r="CI422" s="225"/>
      <c r="CJ422" s="226"/>
    </row>
    <row r="423" spans="1:88" ht="18" customHeight="1">
      <c r="A423" s="11"/>
      <c r="B423" s="11"/>
      <c r="C423" s="11"/>
      <c r="D423" s="11" t="s">
        <v>18</v>
      </c>
      <c r="E423" s="11"/>
      <c r="F423" s="11"/>
      <c r="G423" s="11"/>
      <c r="H423" s="11" t="s">
        <v>19</v>
      </c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231"/>
      <c r="AU423" s="36">
        <v>40</v>
      </c>
      <c r="AV423" s="37"/>
      <c r="AW423" s="38"/>
      <c r="AX423" s="36">
        <v>140</v>
      </c>
      <c r="AY423" s="37"/>
      <c r="AZ423" s="38"/>
      <c r="BA423" s="36">
        <f>AX423</f>
        <v>140</v>
      </c>
      <c r="BB423" s="37"/>
      <c r="BC423" s="38"/>
      <c r="BD423" s="36">
        <f>AX423</f>
        <v>140</v>
      </c>
      <c r="BE423" s="37"/>
      <c r="BF423" s="38"/>
      <c r="BG423" s="36">
        <v>140</v>
      </c>
      <c r="BH423" s="37"/>
      <c r="BI423" s="38"/>
      <c r="BJ423" s="36">
        <v>185</v>
      </c>
      <c r="BK423" s="37"/>
      <c r="BL423" s="38"/>
      <c r="BM423" s="36">
        <f>BJ423</f>
        <v>185</v>
      </c>
      <c r="BN423" s="37"/>
      <c r="BO423" s="38"/>
      <c r="BP423" s="36">
        <v>210</v>
      </c>
      <c r="BQ423" s="37"/>
      <c r="BR423" s="38"/>
      <c r="BS423" s="36">
        <f>BP423</f>
        <v>210</v>
      </c>
      <c r="BT423" s="37"/>
      <c r="BU423" s="38"/>
      <c r="BV423" s="36">
        <f>BP423</f>
        <v>210</v>
      </c>
      <c r="BW423" s="37"/>
      <c r="BX423" s="38"/>
      <c r="BY423" s="36">
        <v>210</v>
      </c>
      <c r="BZ423" s="37"/>
      <c r="CA423" s="38"/>
      <c r="CB423" s="36">
        <v>255</v>
      </c>
      <c r="CC423" s="37"/>
      <c r="CD423" s="38"/>
      <c r="CE423" s="36">
        <f>CB423</f>
        <v>255</v>
      </c>
      <c r="CF423" s="37"/>
      <c r="CG423" s="38"/>
      <c r="CH423" s="36">
        <f>CE423</f>
        <v>255</v>
      </c>
      <c r="CI423" s="37"/>
      <c r="CJ423" s="38"/>
    </row>
    <row r="424" spans="1:88" ht="18" customHeight="1">
      <c r="A424" s="11"/>
      <c r="B424" s="11"/>
      <c r="C424" s="11"/>
      <c r="D424" s="11"/>
      <c r="E424" s="11"/>
      <c r="F424" s="11"/>
      <c r="G424" s="11"/>
      <c r="H424" s="11" t="s">
        <v>20</v>
      </c>
      <c r="I424" s="11"/>
      <c r="J424" s="11"/>
      <c r="K424" s="11"/>
      <c r="L424" s="11"/>
      <c r="M424" s="11"/>
      <c r="N424" s="11"/>
      <c r="O424" s="11"/>
      <c r="P424" s="11"/>
      <c r="Q424" s="11" t="s">
        <v>21</v>
      </c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231"/>
      <c r="AU424" s="228" t="s">
        <v>16</v>
      </c>
      <c r="AV424" s="229"/>
      <c r="AW424" s="230"/>
      <c r="AX424" s="36">
        <v>125</v>
      </c>
      <c r="AY424" s="37"/>
      <c r="AZ424" s="38"/>
      <c r="BA424" s="36">
        <f>AX424</f>
        <v>125</v>
      </c>
      <c r="BB424" s="37"/>
      <c r="BC424" s="38"/>
      <c r="BD424" s="36">
        <f>AX424</f>
        <v>125</v>
      </c>
      <c r="BE424" s="37"/>
      <c r="BF424" s="38"/>
      <c r="BG424" s="36">
        <v>140</v>
      </c>
      <c r="BH424" s="37"/>
      <c r="BI424" s="38"/>
      <c r="BJ424" s="36">
        <v>175</v>
      </c>
      <c r="BK424" s="37"/>
      <c r="BL424" s="38"/>
      <c r="BM424" s="36">
        <f>BM423</f>
        <v>185</v>
      </c>
      <c r="BN424" s="37"/>
      <c r="BO424" s="38"/>
      <c r="BP424" s="36">
        <v>195</v>
      </c>
      <c r="BQ424" s="37"/>
      <c r="BR424" s="38"/>
      <c r="BS424" s="36">
        <f>BP424</f>
        <v>195</v>
      </c>
      <c r="BT424" s="37"/>
      <c r="BU424" s="38"/>
      <c r="BV424" s="36">
        <f>BP424</f>
        <v>195</v>
      </c>
      <c r="BW424" s="37"/>
      <c r="BX424" s="38"/>
      <c r="BY424" s="36">
        <v>210</v>
      </c>
      <c r="BZ424" s="37"/>
      <c r="CA424" s="38"/>
      <c r="CB424" s="36">
        <v>245</v>
      </c>
      <c r="CC424" s="37"/>
      <c r="CD424" s="38"/>
      <c r="CE424" s="36">
        <f>CB424</f>
        <v>245</v>
      </c>
      <c r="CF424" s="37"/>
      <c r="CG424" s="38"/>
      <c r="CH424" s="36">
        <f>CH423</f>
        <v>255</v>
      </c>
      <c r="CI424" s="37"/>
      <c r="CJ424" s="38"/>
    </row>
    <row r="425" spans="1:88" ht="18" customHeight="1">
      <c r="A425" s="11"/>
      <c r="B425" s="11"/>
      <c r="C425" s="11"/>
      <c r="D425" s="11"/>
      <c r="E425" s="11"/>
      <c r="F425" s="11"/>
      <c r="G425" s="11"/>
      <c r="H425" s="11" t="s">
        <v>35</v>
      </c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U425" s="228" t="s">
        <v>17</v>
      </c>
      <c r="AV425" s="229"/>
      <c r="AW425" s="230"/>
      <c r="AX425" s="36">
        <v>125</v>
      </c>
      <c r="AY425" s="37"/>
      <c r="AZ425" s="38"/>
      <c r="BA425" s="36">
        <f>AX425</f>
        <v>125</v>
      </c>
      <c r="BB425" s="37"/>
      <c r="BC425" s="38"/>
      <c r="BD425" s="36">
        <f>AX425</f>
        <v>125</v>
      </c>
      <c r="BE425" s="37"/>
      <c r="BF425" s="38"/>
      <c r="BG425" s="36">
        <v>140</v>
      </c>
      <c r="BH425" s="37"/>
      <c r="BI425" s="38"/>
      <c r="BJ425" s="36">
        <v>175</v>
      </c>
      <c r="BK425" s="37"/>
      <c r="BL425" s="38"/>
      <c r="BM425" s="36">
        <f>BM423</f>
        <v>185</v>
      </c>
      <c r="BN425" s="37"/>
      <c r="BO425" s="38"/>
      <c r="BP425" s="36">
        <v>190</v>
      </c>
      <c r="BQ425" s="37"/>
      <c r="BR425" s="38"/>
      <c r="BS425" s="36">
        <f>BP425</f>
        <v>190</v>
      </c>
      <c r="BT425" s="37"/>
      <c r="BU425" s="38"/>
      <c r="BV425" s="36">
        <f>BP425</f>
        <v>190</v>
      </c>
      <c r="BW425" s="37"/>
      <c r="BX425" s="38"/>
      <c r="BY425" s="36">
        <v>210</v>
      </c>
      <c r="BZ425" s="37"/>
      <c r="CA425" s="38"/>
      <c r="CB425" s="36">
        <v>240</v>
      </c>
      <c r="CC425" s="37"/>
      <c r="CD425" s="38"/>
      <c r="CE425" s="36">
        <f>CB425</f>
        <v>240</v>
      </c>
      <c r="CF425" s="37"/>
      <c r="CG425" s="38"/>
      <c r="CH425" s="36">
        <f>CH423</f>
        <v>255</v>
      </c>
      <c r="CI425" s="37"/>
      <c r="CJ425" s="38"/>
    </row>
    <row r="426" spans="1:57" ht="18" customHeight="1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 t="s">
        <v>36</v>
      </c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4"/>
      <c r="AU426" s="13" t="s">
        <v>37</v>
      </c>
      <c r="AV426" s="13"/>
      <c r="AW426" s="13"/>
      <c r="AX426" s="13"/>
      <c r="AY426" s="13"/>
      <c r="AZ426" s="13"/>
      <c r="BA426" s="13"/>
      <c r="BB426" s="13"/>
      <c r="BC426" s="13"/>
      <c r="BD426" s="13"/>
      <c r="BE426" s="13"/>
    </row>
    <row r="427" spans="1:88" ht="18" customHeight="1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5"/>
      <c r="AU427" s="36">
        <f>IF(AG362&lt;=0.04,2,IF(AG362&lt;=0.075,3,4))</f>
        <v>2</v>
      </c>
      <c r="AV427" s="37"/>
      <c r="AW427" s="38"/>
      <c r="AX427" s="43" t="s">
        <v>4</v>
      </c>
      <c r="AY427" s="44"/>
      <c r="AZ427" s="45"/>
      <c r="BA427" s="43" t="s">
        <v>5</v>
      </c>
      <c r="BB427" s="44"/>
      <c r="BC427" s="45"/>
      <c r="BD427" s="43" t="s">
        <v>6</v>
      </c>
      <c r="BE427" s="44"/>
      <c r="BF427" s="45"/>
      <c r="BG427" s="43" t="s">
        <v>7</v>
      </c>
      <c r="BH427" s="44"/>
      <c r="BI427" s="45"/>
      <c r="BJ427" s="43" t="s">
        <v>88</v>
      </c>
      <c r="BK427" s="44"/>
      <c r="BL427" s="45"/>
      <c r="BM427" s="224" t="s">
        <v>8</v>
      </c>
      <c r="BN427" s="225"/>
      <c r="BO427" s="226"/>
      <c r="BP427" s="43" t="s">
        <v>9</v>
      </c>
      <c r="BQ427" s="44"/>
      <c r="BR427" s="45"/>
      <c r="BS427" s="43" t="s">
        <v>10</v>
      </c>
      <c r="BT427" s="44"/>
      <c r="BU427" s="45"/>
      <c r="BV427" s="43" t="s">
        <v>11</v>
      </c>
      <c r="BW427" s="44"/>
      <c r="BX427" s="45"/>
      <c r="BY427" s="224" t="s">
        <v>12</v>
      </c>
      <c r="BZ427" s="225"/>
      <c r="CA427" s="226"/>
      <c r="CB427" s="43" t="s">
        <v>13</v>
      </c>
      <c r="CC427" s="44"/>
      <c r="CD427" s="45"/>
      <c r="CE427" s="43" t="s">
        <v>14</v>
      </c>
      <c r="CF427" s="44"/>
      <c r="CG427" s="45"/>
      <c r="CH427" s="224" t="s">
        <v>15</v>
      </c>
      <c r="CI427" s="225"/>
      <c r="CJ427" s="226"/>
    </row>
    <row r="428" spans="1:88" ht="18" customHeight="1">
      <c r="A428" s="11"/>
      <c r="B428" s="11"/>
      <c r="C428" s="11" t="s">
        <v>22</v>
      </c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 t="s">
        <v>85</v>
      </c>
      <c r="S428" s="51" t="str">
        <f>AG353</f>
        <v>SMA490</v>
      </c>
      <c r="T428" s="51"/>
      <c r="U428" s="51"/>
      <c r="V428" s="51"/>
      <c r="W428" s="11" t="s">
        <v>23</v>
      </c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232"/>
      <c r="AU428" s="36">
        <v>40</v>
      </c>
      <c r="AV428" s="37"/>
      <c r="AW428" s="38"/>
      <c r="AX428" s="36">
        <v>140</v>
      </c>
      <c r="AY428" s="37"/>
      <c r="AZ428" s="38"/>
      <c r="BA428" s="36">
        <f>AX428</f>
        <v>140</v>
      </c>
      <c r="BB428" s="37"/>
      <c r="BC428" s="38"/>
      <c r="BD428" s="36">
        <f>AX428</f>
        <v>140</v>
      </c>
      <c r="BE428" s="37"/>
      <c r="BF428" s="38"/>
      <c r="BG428" s="36">
        <v>140</v>
      </c>
      <c r="BH428" s="37"/>
      <c r="BI428" s="38"/>
      <c r="BJ428" s="36">
        <v>185</v>
      </c>
      <c r="BK428" s="37"/>
      <c r="BL428" s="38"/>
      <c r="BM428" s="36">
        <f>BJ428</f>
        <v>185</v>
      </c>
      <c r="BN428" s="37"/>
      <c r="BO428" s="38"/>
      <c r="BP428" s="36">
        <v>210</v>
      </c>
      <c r="BQ428" s="37"/>
      <c r="BR428" s="38"/>
      <c r="BS428" s="36">
        <f>BP428</f>
        <v>210</v>
      </c>
      <c r="BT428" s="37"/>
      <c r="BU428" s="38"/>
      <c r="BV428" s="36">
        <f>BP428</f>
        <v>210</v>
      </c>
      <c r="BW428" s="37"/>
      <c r="BX428" s="38"/>
      <c r="BY428" s="36">
        <v>210</v>
      </c>
      <c r="BZ428" s="37"/>
      <c r="CA428" s="38"/>
      <c r="CB428" s="36">
        <v>255</v>
      </c>
      <c r="CC428" s="37"/>
      <c r="CD428" s="38"/>
      <c r="CE428" s="36">
        <f>CB428</f>
        <v>255</v>
      </c>
      <c r="CF428" s="37"/>
      <c r="CG428" s="38"/>
      <c r="CH428" s="36">
        <f>CE428</f>
        <v>255</v>
      </c>
      <c r="CI428" s="37"/>
      <c r="CJ428" s="38"/>
    </row>
    <row r="429" spans="1:88" ht="18" customHeight="1">
      <c r="A429" s="11"/>
      <c r="B429" s="11"/>
      <c r="C429" s="11"/>
      <c r="D429" s="11"/>
      <c r="E429" s="11" t="s">
        <v>90</v>
      </c>
      <c r="F429" s="11"/>
      <c r="G429" s="11"/>
      <c r="H429" s="219">
        <f>HLOOKUP(S428,AX422:CJ425,AU422,FALSE)</f>
        <v>210</v>
      </c>
      <c r="I429" s="219"/>
      <c r="J429" s="219"/>
      <c r="K429" s="219"/>
      <c r="L429" s="11" t="s">
        <v>28</v>
      </c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U429" s="228" t="s">
        <v>16</v>
      </c>
      <c r="AV429" s="229"/>
      <c r="AW429" s="230"/>
      <c r="AX429" s="36">
        <v>125</v>
      </c>
      <c r="AY429" s="37"/>
      <c r="AZ429" s="38"/>
      <c r="BA429" s="36">
        <f>AX429</f>
        <v>125</v>
      </c>
      <c r="BB429" s="37"/>
      <c r="BC429" s="38"/>
      <c r="BD429" s="36">
        <f>AX429</f>
        <v>125</v>
      </c>
      <c r="BE429" s="37"/>
      <c r="BF429" s="38"/>
      <c r="BG429" s="36">
        <v>140</v>
      </c>
      <c r="BH429" s="37"/>
      <c r="BI429" s="38"/>
      <c r="BJ429" s="36">
        <v>175</v>
      </c>
      <c r="BK429" s="37"/>
      <c r="BL429" s="38"/>
      <c r="BM429" s="36">
        <f>BM428</f>
        <v>185</v>
      </c>
      <c r="BN429" s="37"/>
      <c r="BO429" s="38"/>
      <c r="BP429" s="36">
        <v>195</v>
      </c>
      <c r="BQ429" s="37"/>
      <c r="BR429" s="38"/>
      <c r="BS429" s="36">
        <f>BP429</f>
        <v>195</v>
      </c>
      <c r="BT429" s="37"/>
      <c r="BU429" s="38"/>
      <c r="BV429" s="36">
        <f>BP429</f>
        <v>195</v>
      </c>
      <c r="BW429" s="37"/>
      <c r="BX429" s="38"/>
      <c r="BY429" s="36">
        <v>210</v>
      </c>
      <c r="BZ429" s="37"/>
      <c r="CA429" s="38"/>
      <c r="CB429" s="36">
        <v>245</v>
      </c>
      <c r="CC429" s="37"/>
      <c r="CD429" s="38"/>
      <c r="CE429" s="36">
        <f>CB429</f>
        <v>245</v>
      </c>
      <c r="CF429" s="37"/>
      <c r="CG429" s="38"/>
      <c r="CH429" s="36">
        <f>CH428</f>
        <v>255</v>
      </c>
      <c r="CI429" s="37"/>
      <c r="CJ429" s="38"/>
    </row>
    <row r="430" spans="1:88" ht="18" customHeight="1">
      <c r="A430" s="11"/>
      <c r="B430" s="11"/>
      <c r="C430" s="11" t="s">
        <v>24</v>
      </c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 t="s">
        <v>85</v>
      </c>
      <c r="S430" s="51" t="str">
        <f>S428</f>
        <v>SMA490</v>
      </c>
      <c r="T430" s="51"/>
      <c r="U430" s="51"/>
      <c r="V430" s="51"/>
      <c r="W430" s="11" t="s">
        <v>23</v>
      </c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U430" s="228" t="s">
        <v>17</v>
      </c>
      <c r="AV430" s="229"/>
      <c r="AW430" s="230"/>
      <c r="AX430" s="36">
        <v>125</v>
      </c>
      <c r="AY430" s="37"/>
      <c r="AZ430" s="38"/>
      <c r="BA430" s="36">
        <f>AX430</f>
        <v>125</v>
      </c>
      <c r="BB430" s="37"/>
      <c r="BC430" s="38"/>
      <c r="BD430" s="36">
        <f>AX430</f>
        <v>125</v>
      </c>
      <c r="BE430" s="37"/>
      <c r="BF430" s="38"/>
      <c r="BG430" s="36">
        <v>140</v>
      </c>
      <c r="BH430" s="37"/>
      <c r="BI430" s="38"/>
      <c r="BJ430" s="36">
        <v>175</v>
      </c>
      <c r="BK430" s="37"/>
      <c r="BL430" s="38"/>
      <c r="BM430" s="36">
        <f>BM428</f>
        <v>185</v>
      </c>
      <c r="BN430" s="37"/>
      <c r="BO430" s="38"/>
      <c r="BP430" s="36">
        <v>190</v>
      </c>
      <c r="BQ430" s="37"/>
      <c r="BR430" s="38"/>
      <c r="BS430" s="36">
        <f>BP430</f>
        <v>190</v>
      </c>
      <c r="BT430" s="37"/>
      <c r="BU430" s="38"/>
      <c r="BV430" s="36">
        <f>BP430</f>
        <v>190</v>
      </c>
      <c r="BW430" s="37"/>
      <c r="BX430" s="38"/>
      <c r="BY430" s="36">
        <v>210</v>
      </c>
      <c r="BZ430" s="37"/>
      <c r="CA430" s="38"/>
      <c r="CB430" s="36">
        <v>240</v>
      </c>
      <c r="CC430" s="37"/>
      <c r="CD430" s="38"/>
      <c r="CE430" s="36">
        <f>CB430</f>
        <v>240</v>
      </c>
      <c r="CF430" s="37"/>
      <c r="CG430" s="38"/>
      <c r="CH430" s="36">
        <f>CH428</f>
        <v>255</v>
      </c>
      <c r="CI430" s="37"/>
      <c r="CJ430" s="38"/>
    </row>
    <row r="431" spans="1:57" ht="18" customHeight="1">
      <c r="A431" s="11"/>
      <c r="B431" s="11"/>
      <c r="C431" s="11"/>
      <c r="D431" s="11"/>
      <c r="E431" s="51" t="s">
        <v>38</v>
      </c>
      <c r="F431" s="51"/>
      <c r="G431" s="51"/>
      <c r="H431" s="51"/>
      <c r="I431" s="51"/>
      <c r="J431" s="233"/>
      <c r="K431" s="234" t="s">
        <v>91</v>
      </c>
      <c r="L431" s="234"/>
      <c r="M431" s="233"/>
      <c r="N431" s="233"/>
      <c r="O431" s="11"/>
      <c r="P431" s="51" t="s">
        <v>79</v>
      </c>
      <c r="Q431" s="11"/>
      <c r="R431" s="233"/>
      <c r="S431" s="233"/>
      <c r="T431" s="235">
        <f>(AG356+AM356)*1000</f>
        <v>2400</v>
      </c>
      <c r="U431" s="234"/>
      <c r="V431" s="234"/>
      <c r="W431" s="233"/>
      <c r="X431" s="233"/>
      <c r="Y431" s="233"/>
      <c r="Z431" s="233"/>
      <c r="AA431" s="51" t="s">
        <v>79</v>
      </c>
      <c r="AB431" s="51"/>
      <c r="AC431" s="219">
        <f>T431/(R432*U432*Y432)</f>
        <v>36.36363636363637</v>
      </c>
      <c r="AD431" s="219"/>
      <c r="AE431" s="219"/>
      <c r="AF431" s="51" t="s">
        <v>71</v>
      </c>
      <c r="AG431" s="5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U431" s="13" t="s">
        <v>39</v>
      </c>
      <c r="AV431" s="13"/>
      <c r="AW431" s="13"/>
      <c r="AX431" s="13"/>
      <c r="AY431" s="13"/>
      <c r="AZ431" s="13"/>
      <c r="BA431" s="13"/>
      <c r="BB431" s="13"/>
      <c r="BC431" s="13"/>
      <c r="BD431" s="13"/>
      <c r="BE431" s="13"/>
    </row>
    <row r="432" spans="1:88" ht="18" customHeight="1">
      <c r="A432" s="11"/>
      <c r="B432" s="11"/>
      <c r="C432" s="11"/>
      <c r="D432" s="11"/>
      <c r="E432" s="51"/>
      <c r="F432" s="51"/>
      <c r="G432" s="51"/>
      <c r="H432" s="51"/>
      <c r="I432" s="51"/>
      <c r="J432" s="236">
        <f>HLOOKUP(S430,AX432:CJ435,AU433,FALSE)</f>
        <v>22</v>
      </c>
      <c r="K432" s="237"/>
      <c r="L432" s="11" t="s">
        <v>92</v>
      </c>
      <c r="M432" s="11"/>
      <c r="N432" s="11"/>
      <c r="O432" s="11"/>
      <c r="P432" s="51"/>
      <c r="Q432" s="11"/>
      <c r="R432" s="236">
        <f>J432</f>
        <v>22</v>
      </c>
      <c r="S432" s="237"/>
      <c r="T432" s="11" t="s">
        <v>83</v>
      </c>
      <c r="U432" s="237">
        <f>AF421</f>
        <v>1</v>
      </c>
      <c r="V432" s="237"/>
      <c r="W432" s="237"/>
      <c r="X432" s="11" t="s">
        <v>83</v>
      </c>
      <c r="Y432" s="236">
        <f>C381+1</f>
        <v>3</v>
      </c>
      <c r="Z432" s="237"/>
      <c r="AA432" s="51"/>
      <c r="AB432" s="51"/>
      <c r="AC432" s="219"/>
      <c r="AD432" s="219"/>
      <c r="AE432" s="219"/>
      <c r="AF432" s="51"/>
      <c r="AG432" s="5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U432" s="36">
        <f>AU427</f>
        <v>2</v>
      </c>
      <c r="AV432" s="37"/>
      <c r="AW432" s="38"/>
      <c r="AX432" s="43" t="s">
        <v>4</v>
      </c>
      <c r="AY432" s="44"/>
      <c r="AZ432" s="45"/>
      <c r="BA432" s="46" t="s">
        <v>5</v>
      </c>
      <c r="BB432" s="47"/>
      <c r="BC432" s="48"/>
      <c r="BD432" s="43" t="s">
        <v>6</v>
      </c>
      <c r="BE432" s="44"/>
      <c r="BF432" s="45"/>
      <c r="BG432" s="43" t="s">
        <v>7</v>
      </c>
      <c r="BH432" s="44"/>
      <c r="BI432" s="45"/>
      <c r="BJ432" s="43" t="s">
        <v>88</v>
      </c>
      <c r="BK432" s="44"/>
      <c r="BL432" s="45"/>
      <c r="BM432" s="224" t="s">
        <v>8</v>
      </c>
      <c r="BN432" s="225"/>
      <c r="BO432" s="226"/>
      <c r="BP432" s="43" t="s">
        <v>9</v>
      </c>
      <c r="BQ432" s="44"/>
      <c r="BR432" s="45"/>
      <c r="BS432" s="43" t="s">
        <v>10</v>
      </c>
      <c r="BT432" s="44"/>
      <c r="BU432" s="45"/>
      <c r="BV432" s="43" t="s">
        <v>11</v>
      </c>
      <c r="BW432" s="44"/>
      <c r="BX432" s="45"/>
      <c r="BY432" s="224" t="s">
        <v>12</v>
      </c>
      <c r="BZ432" s="225"/>
      <c r="CA432" s="226"/>
      <c r="CB432" s="43" t="s">
        <v>13</v>
      </c>
      <c r="CC432" s="44"/>
      <c r="CD432" s="45"/>
      <c r="CE432" s="43" t="s">
        <v>14</v>
      </c>
      <c r="CF432" s="44"/>
      <c r="CG432" s="45"/>
      <c r="CH432" s="224" t="s">
        <v>15</v>
      </c>
      <c r="CI432" s="225"/>
      <c r="CJ432" s="226"/>
    </row>
    <row r="433" spans="1:88" ht="18" customHeight="1">
      <c r="A433" s="11"/>
      <c r="B433" s="11"/>
      <c r="C433" s="11"/>
      <c r="D433" s="11"/>
      <c r="E433" s="11"/>
      <c r="F433" s="11"/>
      <c r="G433" s="11" t="s">
        <v>25</v>
      </c>
      <c r="H433" s="11"/>
      <c r="I433" s="11"/>
      <c r="J433" s="11"/>
      <c r="K433" s="11"/>
      <c r="L433" s="11"/>
      <c r="M433" s="11"/>
      <c r="N433" s="11"/>
      <c r="O433" s="167">
        <f>HLOOKUP(S430,AX427:CJ430,AU427,FALSE)</f>
        <v>210</v>
      </c>
      <c r="P433" s="167"/>
      <c r="Q433" s="167"/>
      <c r="R433" s="167"/>
      <c r="S433" s="11" t="s">
        <v>28</v>
      </c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U433" s="36">
        <v>2</v>
      </c>
      <c r="AV433" s="37"/>
      <c r="AW433" s="38"/>
      <c r="AX433" s="34">
        <v>28</v>
      </c>
      <c r="AY433" s="34"/>
      <c r="AZ433" s="34"/>
      <c r="BA433" s="39">
        <f>AX433</f>
        <v>28</v>
      </c>
      <c r="BB433" s="39"/>
      <c r="BC433" s="39"/>
      <c r="BD433" s="34">
        <f>AX433</f>
        <v>28</v>
      </c>
      <c r="BE433" s="34"/>
      <c r="BF433" s="34"/>
      <c r="BG433" s="34">
        <f>BA433</f>
        <v>28</v>
      </c>
      <c r="BH433" s="34"/>
      <c r="BI433" s="34"/>
      <c r="BJ433" s="35">
        <v>24</v>
      </c>
      <c r="BK433" s="35"/>
      <c r="BL433" s="35"/>
      <c r="BM433" s="35">
        <f>BJ433</f>
        <v>24</v>
      </c>
      <c r="BN433" s="35"/>
      <c r="BO433" s="35"/>
      <c r="BP433" s="35">
        <v>22</v>
      </c>
      <c r="BQ433" s="35"/>
      <c r="BR433" s="35"/>
      <c r="BS433" s="35">
        <f>BP433</f>
        <v>22</v>
      </c>
      <c r="BT433" s="35"/>
      <c r="BU433" s="35"/>
      <c r="BV433" s="35">
        <f>BP433</f>
        <v>22</v>
      </c>
      <c r="BW433" s="35"/>
      <c r="BX433" s="35"/>
      <c r="BY433" s="34">
        <f>BP433</f>
        <v>22</v>
      </c>
      <c r="BZ433" s="34"/>
      <c r="CA433" s="34"/>
      <c r="CB433" s="34">
        <v>22</v>
      </c>
      <c r="CC433" s="34"/>
      <c r="CD433" s="34"/>
      <c r="CE433" s="34">
        <f>CB433</f>
        <v>22</v>
      </c>
      <c r="CF433" s="34"/>
      <c r="CG433" s="34"/>
      <c r="CH433" s="34">
        <f>CB433</f>
        <v>22</v>
      </c>
      <c r="CI433" s="34"/>
      <c r="CJ433" s="34"/>
    </row>
    <row r="434" spans="1:88" ht="18" customHeight="1">
      <c r="A434" s="11"/>
      <c r="B434" s="11"/>
      <c r="C434" s="11"/>
      <c r="D434" s="11"/>
      <c r="E434" s="233"/>
      <c r="F434" s="234" t="s">
        <v>91</v>
      </c>
      <c r="G434" s="234"/>
      <c r="H434" s="233"/>
      <c r="I434" s="11"/>
      <c r="J434" s="51" t="s">
        <v>93</v>
      </c>
      <c r="K434" s="51" t="s">
        <v>38</v>
      </c>
      <c r="L434" s="51"/>
      <c r="M434" s="51"/>
      <c r="N434" s="51"/>
      <c r="O434" s="51"/>
      <c r="P434" s="233"/>
      <c r="Q434" s="234" t="s">
        <v>91</v>
      </c>
      <c r="R434" s="234"/>
      <c r="S434" s="233"/>
      <c r="T434" s="11"/>
      <c r="U434" s="51" t="s">
        <v>79</v>
      </c>
      <c r="V434" s="233"/>
      <c r="W434" s="233"/>
      <c r="X434" s="235">
        <f>(AG356+AM356)*1000</f>
        <v>2400</v>
      </c>
      <c r="Y434" s="234"/>
      <c r="Z434" s="234"/>
      <c r="AA434" s="233"/>
      <c r="AB434" s="233"/>
      <c r="AC434" s="233"/>
      <c r="AD434" s="233"/>
      <c r="AE434" s="51" t="s">
        <v>79</v>
      </c>
      <c r="AF434" s="219">
        <f>X434/(V435*Y435*AC435)</f>
        <v>17.391304347826086</v>
      </c>
      <c r="AG434" s="219"/>
      <c r="AH434" s="219"/>
      <c r="AI434" s="51" t="s">
        <v>71</v>
      </c>
      <c r="AJ434" s="51"/>
      <c r="AK434" s="11"/>
      <c r="AL434" s="11"/>
      <c r="AM434" s="11"/>
      <c r="AN434" s="11"/>
      <c r="AO434" s="11"/>
      <c r="AP434" s="11"/>
      <c r="AQ434" s="11"/>
      <c r="AR434" s="11"/>
      <c r="AS434" s="11"/>
      <c r="AU434" s="36">
        <v>3</v>
      </c>
      <c r="AV434" s="37"/>
      <c r="AW434" s="38"/>
      <c r="AX434" s="40">
        <f>IF(AU432=2,2.6,2.1)</f>
        <v>2.6</v>
      </c>
      <c r="AY434" s="40"/>
      <c r="AZ434" s="40"/>
      <c r="BA434" s="42">
        <f>AX434</f>
        <v>2.6</v>
      </c>
      <c r="BB434" s="42"/>
      <c r="BC434" s="42"/>
      <c r="BD434" s="40">
        <f>AX434</f>
        <v>2.6</v>
      </c>
      <c r="BE434" s="40"/>
      <c r="BF434" s="40"/>
      <c r="BG434" s="40">
        <f>BA434</f>
        <v>2.6</v>
      </c>
      <c r="BH434" s="40"/>
      <c r="BI434" s="40"/>
      <c r="BJ434" s="41">
        <f>IF(AU432=2,3.9,3.5)</f>
        <v>3.9</v>
      </c>
      <c r="BK434" s="41"/>
      <c r="BL434" s="41"/>
      <c r="BM434" s="41">
        <f>BJ434</f>
        <v>3.9</v>
      </c>
      <c r="BN434" s="41"/>
      <c r="BO434" s="41"/>
      <c r="BP434" s="41">
        <f>IF(AU432=2,4.6,IF(AU432=3,4,3.7))</f>
        <v>4.6</v>
      </c>
      <c r="BQ434" s="41"/>
      <c r="BR434" s="41"/>
      <c r="BS434" s="41">
        <f>BP434</f>
        <v>4.6</v>
      </c>
      <c r="BT434" s="41"/>
      <c r="BU434" s="41"/>
      <c r="BV434" s="41">
        <f>BP434</f>
        <v>4.6</v>
      </c>
      <c r="BW434" s="41"/>
      <c r="BX434" s="41"/>
      <c r="BY434" s="40">
        <f>BP434</f>
        <v>4.6</v>
      </c>
      <c r="BZ434" s="40"/>
      <c r="CA434" s="40"/>
      <c r="CB434" s="40">
        <f>IF(AU432=2,6.9,IF(AU432=3,6.2,6))</f>
        <v>6.9</v>
      </c>
      <c r="CC434" s="40"/>
      <c r="CD434" s="40"/>
      <c r="CE434" s="40">
        <f>CB434</f>
        <v>6.9</v>
      </c>
      <c r="CF434" s="40"/>
      <c r="CG434" s="40"/>
      <c r="CH434" s="40">
        <f>CB434</f>
        <v>6.9</v>
      </c>
      <c r="CI434" s="40"/>
      <c r="CJ434" s="40"/>
    </row>
    <row r="435" spans="1:88" ht="18" customHeight="1">
      <c r="A435" s="11"/>
      <c r="B435" s="11"/>
      <c r="C435" s="11"/>
      <c r="D435" s="11"/>
      <c r="E435" s="236">
        <f>HLOOKUP(S430,AX432:CJ435,AU433,FALSE)</f>
        <v>22</v>
      </c>
      <c r="F435" s="237"/>
      <c r="G435" s="11" t="s">
        <v>92</v>
      </c>
      <c r="H435" s="11"/>
      <c r="I435" s="11"/>
      <c r="J435" s="51"/>
      <c r="K435" s="51"/>
      <c r="L435" s="51"/>
      <c r="M435" s="51"/>
      <c r="N435" s="51"/>
      <c r="O435" s="51"/>
      <c r="P435" s="236">
        <f>HLOOKUP(S430,AX432:CJ435,AU435,FALSE)</f>
        <v>46</v>
      </c>
      <c r="Q435" s="237"/>
      <c r="R435" s="11" t="s">
        <v>92</v>
      </c>
      <c r="S435" s="11"/>
      <c r="T435" s="11"/>
      <c r="U435" s="51"/>
      <c r="V435" s="236">
        <f>P435</f>
        <v>46</v>
      </c>
      <c r="W435" s="237"/>
      <c r="X435" s="11" t="s">
        <v>83</v>
      </c>
      <c r="Y435" s="237">
        <f>AF421</f>
        <v>1</v>
      </c>
      <c r="Z435" s="237"/>
      <c r="AA435" s="237"/>
      <c r="AB435" s="11" t="s">
        <v>83</v>
      </c>
      <c r="AC435" s="236">
        <f>C381+1</f>
        <v>3</v>
      </c>
      <c r="AD435" s="237"/>
      <c r="AE435" s="51"/>
      <c r="AF435" s="219"/>
      <c r="AG435" s="219"/>
      <c r="AH435" s="219"/>
      <c r="AI435" s="51"/>
      <c r="AJ435" s="51"/>
      <c r="AK435" s="11"/>
      <c r="AL435" s="11"/>
      <c r="AM435" s="11"/>
      <c r="AN435" s="11"/>
      <c r="AO435" s="11"/>
      <c r="AP435" s="11"/>
      <c r="AQ435" s="11"/>
      <c r="AR435" s="11"/>
      <c r="AS435" s="11"/>
      <c r="AU435" s="36">
        <v>4</v>
      </c>
      <c r="AV435" s="37"/>
      <c r="AW435" s="38"/>
      <c r="AX435" s="34">
        <f>IF(AU432=2,56,58)</f>
        <v>56</v>
      </c>
      <c r="AY435" s="34"/>
      <c r="AZ435" s="34"/>
      <c r="BA435" s="39">
        <f>AX435</f>
        <v>56</v>
      </c>
      <c r="BB435" s="39"/>
      <c r="BC435" s="39"/>
      <c r="BD435" s="34">
        <f>AX435</f>
        <v>56</v>
      </c>
      <c r="BE435" s="34"/>
      <c r="BF435" s="34"/>
      <c r="BG435" s="34">
        <f>BA435</f>
        <v>56</v>
      </c>
      <c r="BH435" s="34"/>
      <c r="BI435" s="34"/>
      <c r="BJ435" s="35">
        <f>IF(AU432=2,48,50)</f>
        <v>48</v>
      </c>
      <c r="BK435" s="35"/>
      <c r="BL435" s="35"/>
      <c r="BM435" s="35">
        <f>BJ435</f>
        <v>48</v>
      </c>
      <c r="BN435" s="35"/>
      <c r="BO435" s="35"/>
      <c r="BP435" s="35">
        <f>IF(AU432=2,46,IF(AU432=3,46,48))</f>
        <v>46</v>
      </c>
      <c r="BQ435" s="35"/>
      <c r="BR435" s="35"/>
      <c r="BS435" s="35">
        <f>BP435</f>
        <v>46</v>
      </c>
      <c r="BT435" s="35"/>
      <c r="BU435" s="35"/>
      <c r="BV435" s="35">
        <f>BP435</f>
        <v>46</v>
      </c>
      <c r="BW435" s="35"/>
      <c r="BX435" s="35"/>
      <c r="BY435" s="34">
        <f>BP435</f>
        <v>46</v>
      </c>
      <c r="BZ435" s="34"/>
      <c r="CA435" s="34"/>
      <c r="CB435" s="34">
        <f>IF(AU432=2,40,IF(AU432=3,42,42))</f>
        <v>40</v>
      </c>
      <c r="CC435" s="34"/>
      <c r="CD435" s="34"/>
      <c r="CE435" s="34">
        <f>CB435</f>
        <v>40</v>
      </c>
      <c r="CF435" s="34"/>
      <c r="CG435" s="34"/>
      <c r="CH435" s="34">
        <f>CB435</f>
        <v>40</v>
      </c>
      <c r="CI435" s="34"/>
      <c r="CJ435" s="34"/>
    </row>
    <row r="436" spans="1:55" ht="18" customHeight="1">
      <c r="A436" s="11"/>
      <c r="B436" s="11"/>
      <c r="C436" s="11"/>
      <c r="D436" s="11"/>
      <c r="E436" s="11"/>
      <c r="F436" s="11"/>
      <c r="G436" s="11" t="s">
        <v>25</v>
      </c>
      <c r="H436" s="11"/>
      <c r="I436" s="11"/>
      <c r="J436" s="11"/>
      <c r="K436" s="11"/>
      <c r="L436" s="11"/>
      <c r="M436" s="11"/>
      <c r="N436" s="11"/>
      <c r="O436" s="220">
        <f>O433</f>
        <v>210</v>
      </c>
      <c r="P436" s="51"/>
      <c r="Q436" s="51"/>
      <c r="R436" s="11" t="s">
        <v>72</v>
      </c>
      <c r="S436" s="220">
        <f>HLOOKUP(S430,AX432:CJ435,AU434,FALSE)</f>
        <v>4.6</v>
      </c>
      <c r="T436" s="51"/>
      <c r="U436" s="11" t="s">
        <v>85</v>
      </c>
      <c r="V436" s="11" t="s">
        <v>94</v>
      </c>
      <c r="W436" s="11"/>
      <c r="X436" s="11"/>
      <c r="Y436" s="11"/>
      <c r="Z436" s="11"/>
      <c r="AA436" s="11"/>
      <c r="AB436" s="238">
        <f>E435</f>
        <v>22</v>
      </c>
      <c r="AC436" s="9"/>
      <c r="AD436" s="11" t="s">
        <v>89</v>
      </c>
      <c r="AE436" s="11" t="s">
        <v>79</v>
      </c>
      <c r="AF436" s="167">
        <f>ROUND(O436-S436*(X434/(AG362*1000*AF421*(C381+1))-AB436),3)</f>
        <v>135.962</v>
      </c>
      <c r="AG436" s="167"/>
      <c r="AH436" s="167"/>
      <c r="AI436" s="167"/>
      <c r="AJ436" s="11" t="s">
        <v>28</v>
      </c>
      <c r="AK436" s="11"/>
      <c r="AL436" s="11"/>
      <c r="AM436" s="11"/>
      <c r="AN436" s="11"/>
      <c r="AO436" s="11"/>
      <c r="AP436" s="11"/>
      <c r="AQ436" s="11"/>
      <c r="AR436" s="11"/>
      <c r="AS436" s="11"/>
      <c r="BA436" s="11"/>
      <c r="BB436" s="11"/>
      <c r="BC436" s="11"/>
    </row>
    <row r="437" spans="1:45" ht="18" customHeight="1">
      <c r="A437" s="11"/>
      <c r="B437" s="11"/>
      <c r="C437" s="11"/>
      <c r="D437" s="11"/>
      <c r="E437" s="233"/>
      <c r="F437" s="234" t="s">
        <v>91</v>
      </c>
      <c r="G437" s="234"/>
      <c r="H437" s="233"/>
      <c r="I437" s="11"/>
      <c r="J437" s="51" t="s">
        <v>93</v>
      </c>
      <c r="K437" s="51" t="s">
        <v>38</v>
      </c>
      <c r="L437" s="51"/>
      <c r="M437" s="51"/>
      <c r="N437" s="51"/>
      <c r="O437" s="51"/>
      <c r="P437" s="233"/>
      <c r="Q437" s="234" t="s">
        <v>91</v>
      </c>
      <c r="R437" s="234"/>
      <c r="S437" s="233"/>
      <c r="T437" s="11"/>
      <c r="U437" s="51" t="s">
        <v>79</v>
      </c>
      <c r="V437" s="233"/>
      <c r="W437" s="233"/>
      <c r="X437" s="235">
        <f>(AG356+AM356)*1000</f>
        <v>2400</v>
      </c>
      <c r="Y437" s="234"/>
      <c r="Z437" s="234"/>
      <c r="AA437" s="233"/>
      <c r="AB437" s="233"/>
      <c r="AC437" s="233"/>
      <c r="AD437" s="233"/>
      <c r="AE437" s="51" t="s">
        <v>79</v>
      </c>
      <c r="AF437" s="219">
        <f>X437/(V438*Y438*AC438)</f>
        <v>10</v>
      </c>
      <c r="AG437" s="219"/>
      <c r="AH437" s="219"/>
      <c r="AI437" s="51" t="s">
        <v>71</v>
      </c>
      <c r="AJ437" s="51"/>
      <c r="AK437" s="11"/>
      <c r="AL437" s="11"/>
      <c r="AM437" s="11"/>
      <c r="AN437" s="11"/>
      <c r="AO437" s="11"/>
      <c r="AP437" s="11"/>
      <c r="AQ437" s="11"/>
      <c r="AR437" s="11"/>
      <c r="AS437" s="11"/>
    </row>
    <row r="438" spans="1:45" ht="18" customHeight="1">
      <c r="A438" s="11"/>
      <c r="B438" s="11"/>
      <c r="C438" s="11"/>
      <c r="D438" s="11"/>
      <c r="E438" s="236">
        <f>P435</f>
        <v>46</v>
      </c>
      <c r="F438" s="237"/>
      <c r="G438" s="11" t="s">
        <v>92</v>
      </c>
      <c r="H438" s="11"/>
      <c r="I438" s="11"/>
      <c r="J438" s="51"/>
      <c r="K438" s="51"/>
      <c r="L438" s="51"/>
      <c r="M438" s="51"/>
      <c r="N438" s="51"/>
      <c r="O438" s="51"/>
      <c r="P438" s="236">
        <v>80</v>
      </c>
      <c r="Q438" s="237"/>
      <c r="R438" s="11" t="s">
        <v>92</v>
      </c>
      <c r="S438" s="11"/>
      <c r="T438" s="11"/>
      <c r="U438" s="51"/>
      <c r="V438" s="236">
        <f>P438</f>
        <v>80</v>
      </c>
      <c r="W438" s="237"/>
      <c r="X438" s="11" t="s">
        <v>83</v>
      </c>
      <c r="Y438" s="237">
        <f>AF421</f>
        <v>1</v>
      </c>
      <c r="Z438" s="237"/>
      <c r="AA438" s="237"/>
      <c r="AB438" s="11" t="s">
        <v>83</v>
      </c>
      <c r="AC438" s="236">
        <f>C381+1</f>
        <v>3</v>
      </c>
      <c r="AD438" s="237"/>
      <c r="AE438" s="51"/>
      <c r="AF438" s="219"/>
      <c r="AG438" s="219"/>
      <c r="AH438" s="219"/>
      <c r="AI438" s="51"/>
      <c r="AJ438" s="51"/>
      <c r="AK438" s="11"/>
      <c r="AL438" s="11"/>
      <c r="AM438" s="11"/>
      <c r="AN438" s="11"/>
      <c r="AO438" s="11"/>
      <c r="AP438" s="11"/>
      <c r="AQ438" s="11"/>
      <c r="AR438" s="11"/>
      <c r="AS438" s="11"/>
    </row>
    <row r="439" spans="1:45" ht="18" customHeight="1">
      <c r="A439" s="11"/>
      <c r="B439" s="11"/>
      <c r="C439" s="11"/>
      <c r="D439" s="11"/>
      <c r="E439" s="11"/>
      <c r="F439" s="11"/>
      <c r="G439" s="11" t="s">
        <v>25</v>
      </c>
      <c r="H439" s="11"/>
      <c r="I439" s="11"/>
      <c r="J439" s="11"/>
      <c r="K439" s="11"/>
      <c r="L439" s="11"/>
      <c r="M439" s="11"/>
      <c r="N439" s="220">
        <f>210000</f>
        <v>210000</v>
      </c>
      <c r="O439" s="220"/>
      <c r="P439" s="220"/>
      <c r="Q439" s="220"/>
      <c r="R439" s="11" t="s">
        <v>83</v>
      </c>
      <c r="S439" s="11" t="s">
        <v>95</v>
      </c>
      <c r="T439" s="11"/>
      <c r="U439" s="11"/>
      <c r="V439" s="11"/>
      <c r="W439" s="11"/>
      <c r="X439" s="11"/>
      <c r="Y439" s="11"/>
      <c r="Z439" s="11" t="s">
        <v>79</v>
      </c>
      <c r="AA439" s="51">
        <f>N439*(AG362*1000*Y438*AC438/X437)^2</f>
        <v>144.70312499999997</v>
      </c>
      <c r="AB439" s="51"/>
      <c r="AC439" s="51"/>
      <c r="AD439" s="51"/>
      <c r="AE439" s="11"/>
      <c r="AF439" s="11" t="s">
        <v>28</v>
      </c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</row>
    <row r="440" spans="1:45" ht="18" customHeight="1">
      <c r="A440" s="11"/>
      <c r="B440" s="11"/>
      <c r="C440" s="11"/>
      <c r="D440" s="11"/>
      <c r="E440" s="11" t="s">
        <v>26</v>
      </c>
      <c r="F440" s="11"/>
      <c r="G440" s="11"/>
      <c r="H440" s="11"/>
      <c r="I440" s="11"/>
      <c r="J440" s="219">
        <f>AG362*1000</f>
        <v>21</v>
      </c>
      <c r="K440" s="219"/>
      <c r="L440" s="219"/>
      <c r="M440" s="10" t="s">
        <v>145</v>
      </c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</row>
    <row r="441" spans="1:45" ht="18" customHeight="1">
      <c r="A441" s="11"/>
      <c r="B441" s="11"/>
      <c r="C441" s="11"/>
      <c r="D441" s="11"/>
      <c r="E441" s="11" t="s">
        <v>27</v>
      </c>
      <c r="F441" s="11"/>
      <c r="G441" s="11"/>
      <c r="H441" s="11"/>
      <c r="I441" s="11"/>
      <c r="J441" s="11"/>
      <c r="K441" s="11"/>
      <c r="L441" s="51">
        <f>IF(J440&gt;=AC431,O433,IF(J440&gt;=AF434,AF436,IF(J440&gt;=AF437,AA439,"확인 요망")))</f>
        <v>135.962</v>
      </c>
      <c r="M441" s="51"/>
      <c r="N441" s="51"/>
      <c r="O441" s="51"/>
      <c r="P441" s="11" t="s">
        <v>28</v>
      </c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</row>
    <row r="442" spans="1:45" ht="18" customHeight="1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</row>
    <row r="443" spans="1:45" ht="18" customHeight="1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</row>
    <row r="444" spans="1:46" ht="18" customHeight="1">
      <c r="A444" s="11"/>
      <c r="B444" s="11"/>
      <c r="C444" s="239" t="s">
        <v>42</v>
      </c>
      <c r="D444" s="240"/>
      <c r="E444" s="240"/>
      <c r="F444" s="240"/>
      <c r="G444" s="240"/>
      <c r="H444" s="239" t="s">
        <v>43</v>
      </c>
      <c r="I444" s="240"/>
      <c r="J444" s="240"/>
      <c r="K444" s="240"/>
      <c r="L444" s="240"/>
      <c r="M444" s="240"/>
      <c r="N444" s="240"/>
      <c r="O444" s="240"/>
      <c r="P444" s="240"/>
      <c r="Q444" s="240"/>
      <c r="R444" s="240"/>
      <c r="S444" s="240"/>
      <c r="T444" s="240"/>
      <c r="U444" s="240"/>
      <c r="V444" s="240"/>
      <c r="W444" s="240"/>
      <c r="X444" s="240"/>
      <c r="Y444" s="240"/>
      <c r="Z444" s="240"/>
      <c r="AA444" s="240"/>
      <c r="AB444" s="240" t="s">
        <v>96</v>
      </c>
      <c r="AC444" s="240"/>
      <c r="AD444" s="240"/>
      <c r="AE444" s="240"/>
      <c r="AF444" s="240"/>
      <c r="AG444" s="240"/>
      <c r="AH444" s="240"/>
      <c r="AI444" s="240"/>
      <c r="AJ444" s="241" t="s">
        <v>44</v>
      </c>
      <c r="AK444" s="242"/>
      <c r="AL444" s="242"/>
      <c r="AM444" s="242"/>
      <c r="AN444" s="242"/>
      <c r="AO444" s="242"/>
      <c r="AP444" s="242"/>
      <c r="AQ444" s="242"/>
      <c r="AR444" s="243"/>
      <c r="AS444" s="243"/>
      <c r="AT444" s="232"/>
    </row>
    <row r="445" spans="1:46" ht="18" customHeight="1">
      <c r="A445" s="11"/>
      <c r="B445" s="11"/>
      <c r="C445" s="240"/>
      <c r="D445" s="240"/>
      <c r="E445" s="240"/>
      <c r="F445" s="240"/>
      <c r="G445" s="240"/>
      <c r="H445" s="239" t="s">
        <v>40</v>
      </c>
      <c r="I445" s="240"/>
      <c r="J445" s="240"/>
      <c r="K445" s="240"/>
      <c r="L445" s="240"/>
      <c r="M445" s="240"/>
      <c r="N445" s="240"/>
      <c r="O445" s="240"/>
      <c r="P445" s="240"/>
      <c r="Q445" s="240"/>
      <c r="R445" s="239" t="s">
        <v>41</v>
      </c>
      <c r="S445" s="240"/>
      <c r="T445" s="240"/>
      <c r="U445" s="240"/>
      <c r="V445" s="240"/>
      <c r="W445" s="240"/>
      <c r="X445" s="240"/>
      <c r="Y445" s="240"/>
      <c r="Z445" s="240"/>
      <c r="AA445" s="240"/>
      <c r="AB445" s="240"/>
      <c r="AC445" s="240"/>
      <c r="AD445" s="240"/>
      <c r="AE445" s="240"/>
      <c r="AF445" s="240"/>
      <c r="AG445" s="240"/>
      <c r="AH445" s="240"/>
      <c r="AI445" s="240"/>
      <c r="AJ445" s="241" t="s">
        <v>45</v>
      </c>
      <c r="AK445" s="242"/>
      <c r="AL445" s="242"/>
      <c r="AM445" s="242"/>
      <c r="AN445" s="242"/>
      <c r="AO445" s="242"/>
      <c r="AP445" s="242"/>
      <c r="AQ445" s="242"/>
      <c r="AR445" s="243"/>
      <c r="AS445" s="243"/>
      <c r="AT445" s="232"/>
    </row>
    <row r="446" spans="1:46" ht="18" customHeight="1">
      <c r="A446" s="11"/>
      <c r="B446" s="11"/>
      <c r="C446" s="240"/>
      <c r="D446" s="240"/>
      <c r="E446" s="240"/>
      <c r="F446" s="240"/>
      <c r="G446" s="240"/>
      <c r="H446" s="244" t="s">
        <v>46</v>
      </c>
      <c r="I446" s="182"/>
      <c r="J446" s="182"/>
      <c r="K446" s="182"/>
      <c r="L446" s="184"/>
      <c r="M446" s="244" t="s">
        <v>47</v>
      </c>
      <c r="N446" s="182"/>
      <c r="O446" s="182"/>
      <c r="P446" s="182"/>
      <c r="Q446" s="184"/>
      <c r="R446" s="244" t="s">
        <v>46</v>
      </c>
      <c r="S446" s="182"/>
      <c r="T446" s="182"/>
      <c r="U446" s="182"/>
      <c r="V446" s="184"/>
      <c r="W446" s="244" t="s">
        <v>47</v>
      </c>
      <c r="X446" s="182"/>
      <c r="Y446" s="182"/>
      <c r="Z446" s="182"/>
      <c r="AA446" s="184"/>
      <c r="AB446" s="239" t="s">
        <v>46</v>
      </c>
      <c r="AC446" s="240"/>
      <c r="AD446" s="240"/>
      <c r="AE446" s="240"/>
      <c r="AF446" s="239" t="s">
        <v>47</v>
      </c>
      <c r="AG446" s="240"/>
      <c r="AH446" s="240"/>
      <c r="AI446" s="240"/>
      <c r="AJ446" s="241" t="s">
        <v>46</v>
      </c>
      <c r="AK446" s="242"/>
      <c r="AL446" s="242"/>
      <c r="AM446" s="242"/>
      <c r="AN446" s="241" t="s">
        <v>47</v>
      </c>
      <c r="AO446" s="242"/>
      <c r="AP446" s="242"/>
      <c r="AQ446" s="242"/>
      <c r="AR446" s="243"/>
      <c r="AS446" s="243"/>
      <c r="AT446" s="232"/>
    </row>
    <row r="447" spans="1:46" ht="18" customHeight="1">
      <c r="A447" s="11"/>
      <c r="B447" s="11"/>
      <c r="C447" s="245">
        <v>1</v>
      </c>
      <c r="D447" s="245"/>
      <c r="E447" s="245"/>
      <c r="F447" s="245"/>
      <c r="G447" s="245"/>
      <c r="H447" s="240">
        <f>M407</f>
        <v>22.637700029265336</v>
      </c>
      <c r="I447" s="240"/>
      <c r="J447" s="240"/>
      <c r="K447" s="240"/>
      <c r="L447" s="240"/>
      <c r="M447" s="240">
        <f>M408</f>
        <v>-22.08225162086003</v>
      </c>
      <c r="N447" s="240"/>
      <c r="O447" s="240"/>
      <c r="P447" s="240"/>
      <c r="Q447" s="240"/>
      <c r="R447" s="240">
        <f>IF(H447&gt;=0,H429,L441)</f>
        <v>210</v>
      </c>
      <c r="S447" s="240"/>
      <c r="T447" s="240"/>
      <c r="U447" s="240"/>
      <c r="V447" s="240"/>
      <c r="W447" s="240">
        <f>IF(M447&gt;=0,H429,L441)</f>
        <v>135.962</v>
      </c>
      <c r="X447" s="240"/>
      <c r="Y447" s="240"/>
      <c r="Z447" s="240"/>
      <c r="AA447" s="240"/>
      <c r="AB447" s="240">
        <f>(H447/R447)^2</f>
        <v>0.011620532032086163</v>
      </c>
      <c r="AC447" s="240"/>
      <c r="AD447" s="240"/>
      <c r="AE447" s="240"/>
      <c r="AF447" s="240">
        <f>(M447/W447)^2</f>
        <v>0.026378592543729453</v>
      </c>
      <c r="AG447" s="240"/>
      <c r="AH447" s="240"/>
      <c r="AI447" s="240"/>
      <c r="AJ447" s="242">
        <f>(H447/R447)^2+(S409/AJ417)^2</f>
        <v>0.04151445625389101</v>
      </c>
      <c r="AK447" s="242"/>
      <c r="AL447" s="242"/>
      <c r="AM447" s="242"/>
      <c r="AN447" s="242">
        <f>(M447/W447)^2+(S409/AJ417)^2</f>
        <v>0.0562725167655343</v>
      </c>
      <c r="AO447" s="242"/>
      <c r="AP447" s="242"/>
      <c r="AQ447" s="242"/>
      <c r="AR447" s="243"/>
      <c r="AS447" s="243"/>
      <c r="AT447" s="232"/>
    </row>
    <row r="448" spans="1:46" ht="18" customHeight="1">
      <c r="A448" s="11"/>
      <c r="B448" s="11"/>
      <c r="C448" s="245" t="s">
        <v>61</v>
      </c>
      <c r="D448" s="245"/>
      <c r="E448" s="245"/>
      <c r="F448" s="245"/>
      <c r="G448" s="245"/>
      <c r="H448" s="240">
        <f>M407+N412</f>
        <v>41.48685647814142</v>
      </c>
      <c r="I448" s="240"/>
      <c r="J448" s="240"/>
      <c r="K448" s="240"/>
      <c r="L448" s="240"/>
      <c r="M448" s="240">
        <f>M408+N413</f>
        <v>-40.46891700678468</v>
      </c>
      <c r="N448" s="240"/>
      <c r="O448" s="240"/>
      <c r="P448" s="240"/>
      <c r="Q448" s="240"/>
      <c r="R448" s="240">
        <f>R447</f>
        <v>210</v>
      </c>
      <c r="S448" s="240"/>
      <c r="T448" s="240"/>
      <c r="U448" s="240"/>
      <c r="V448" s="240"/>
      <c r="W448" s="240">
        <f>W447</f>
        <v>135.962</v>
      </c>
      <c r="X448" s="240"/>
      <c r="Y448" s="240"/>
      <c r="Z448" s="240"/>
      <c r="AA448" s="240"/>
      <c r="AB448" s="240">
        <f>(H448/R448)^2</f>
        <v>0.039028554658455894</v>
      </c>
      <c r="AC448" s="240"/>
      <c r="AD448" s="240"/>
      <c r="AE448" s="240"/>
      <c r="AF448" s="240">
        <f>(M448/W448)^2</f>
        <v>0.08859476812794939</v>
      </c>
      <c r="AG448" s="240"/>
      <c r="AH448" s="240"/>
      <c r="AI448" s="240"/>
      <c r="AJ448" s="242">
        <f>(H448/R448)^2+(Z417/AJ417)^2</f>
        <v>0.11678175888594781</v>
      </c>
      <c r="AK448" s="242"/>
      <c r="AL448" s="242"/>
      <c r="AM448" s="242"/>
      <c r="AN448" s="242">
        <f>(M448/W448)^2+(Z417/AJ417)^2</f>
        <v>0.1663479723554413</v>
      </c>
      <c r="AO448" s="242"/>
      <c r="AP448" s="242"/>
      <c r="AQ448" s="242"/>
      <c r="AR448" s="243"/>
      <c r="AS448" s="243"/>
      <c r="AT448" s="232"/>
    </row>
    <row r="449" spans="1:45" ht="18" customHeight="1">
      <c r="A449" s="11"/>
      <c r="B449" s="11"/>
      <c r="C449" s="11" t="s">
        <v>48</v>
      </c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227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</row>
    <row r="450" spans="1:45" ht="18" customHeight="1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</row>
    <row r="451" spans="1:45" ht="18" customHeight="1">
      <c r="A451" s="11"/>
      <c r="B451" s="11" t="s">
        <v>62</v>
      </c>
      <c r="C451" s="11"/>
      <c r="D451" s="11"/>
      <c r="E451" s="11"/>
      <c r="F451" s="11"/>
      <c r="G451" s="11"/>
      <c r="H451" s="11"/>
      <c r="I451" s="11"/>
      <c r="J451" s="11"/>
      <c r="K451" s="227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</row>
    <row r="452" spans="1:45" ht="18" customHeight="1">
      <c r="A452" s="11"/>
      <c r="B452" s="11"/>
      <c r="C452" s="11"/>
      <c r="D452" s="11"/>
      <c r="E452" s="11" t="s">
        <v>49</v>
      </c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</row>
    <row r="453" spans="1:45" ht="18" customHeight="1">
      <c r="A453" s="11"/>
      <c r="B453" s="11"/>
      <c r="C453" s="11"/>
      <c r="D453" s="11"/>
      <c r="E453" s="11"/>
      <c r="F453" s="288" t="s">
        <v>85</v>
      </c>
      <c r="G453" s="234" t="s">
        <v>97</v>
      </c>
      <c r="H453" s="234"/>
      <c r="I453" s="289">
        <v>0</v>
      </c>
      <c r="J453" s="51"/>
      <c r="K453" s="51"/>
      <c r="L453" s="51"/>
      <c r="M453" s="234" t="s">
        <v>98</v>
      </c>
      <c r="N453" s="234"/>
      <c r="O453" s="290">
        <v>0</v>
      </c>
      <c r="P453" s="51"/>
      <c r="Q453" s="51" t="s">
        <v>79</v>
      </c>
      <c r="R453" s="291" t="s">
        <v>85</v>
      </c>
      <c r="S453" s="234">
        <f>IF(AB447=R455,H447,IF(AB448=R455,H448,"ERROR"))</f>
        <v>41.48685647814142</v>
      </c>
      <c r="T453" s="234"/>
      <c r="U453" s="234"/>
      <c r="V453" s="234"/>
      <c r="W453" s="234"/>
      <c r="X453" s="292">
        <v>0</v>
      </c>
      <c r="Y453" s="51"/>
      <c r="Z453" s="51" t="s">
        <v>78</v>
      </c>
      <c r="AA453" s="293" t="s">
        <v>85</v>
      </c>
      <c r="AB453" s="234">
        <f>Z417</f>
        <v>33.461113861852894</v>
      </c>
      <c r="AC453" s="234"/>
      <c r="AD453" s="234"/>
      <c r="AE453" s="234"/>
      <c r="AF453" s="234"/>
      <c r="AG453" s="294">
        <v>0</v>
      </c>
      <c r="AH453" s="5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</row>
    <row r="454" spans="1:45" ht="18" customHeight="1">
      <c r="A454" s="11"/>
      <c r="B454" s="11"/>
      <c r="C454" s="11"/>
      <c r="D454" s="11"/>
      <c r="E454" s="11"/>
      <c r="F454" s="51"/>
      <c r="G454" s="237" t="s">
        <v>99</v>
      </c>
      <c r="H454" s="237"/>
      <c r="I454" s="51"/>
      <c r="J454" s="51"/>
      <c r="K454" s="51"/>
      <c r="L454" s="51"/>
      <c r="M454" s="237" t="s">
        <v>100</v>
      </c>
      <c r="N454" s="237"/>
      <c r="O454" s="51"/>
      <c r="P454" s="51"/>
      <c r="Q454" s="51"/>
      <c r="R454" s="51"/>
      <c r="S454" s="237">
        <f>IF(AB447=R455,R447,IF(AB448=R455,R448,"ERROR"))</f>
        <v>210</v>
      </c>
      <c r="T454" s="237"/>
      <c r="U454" s="237"/>
      <c r="V454" s="237"/>
      <c r="W454" s="237"/>
      <c r="X454" s="51"/>
      <c r="Y454" s="51"/>
      <c r="Z454" s="51"/>
      <c r="AA454" s="51"/>
      <c r="AB454" s="237">
        <f>AJ417</f>
        <v>120</v>
      </c>
      <c r="AC454" s="237"/>
      <c r="AD454" s="237"/>
      <c r="AE454" s="237"/>
      <c r="AF454" s="237"/>
      <c r="AG454" s="51"/>
      <c r="AH454" s="5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</row>
    <row r="455" spans="1:45" ht="18" customHeight="1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 t="s">
        <v>79</v>
      </c>
      <c r="R455" s="51">
        <f>MAX(AB447:AB448)</f>
        <v>0.039028554658455894</v>
      </c>
      <c r="S455" s="51"/>
      <c r="T455" s="51"/>
      <c r="U455" s="51"/>
      <c r="V455" s="11" t="s">
        <v>78</v>
      </c>
      <c r="W455" s="51">
        <f>(Z417/AJ417)^2</f>
        <v>0.07775320422749192</v>
      </c>
      <c r="X455" s="51"/>
      <c r="Y455" s="51"/>
      <c r="Z455" s="51"/>
      <c r="AA455" s="11" t="s">
        <v>79</v>
      </c>
      <c r="AB455" s="51">
        <f>R455+W455</f>
        <v>0.11678175888594781</v>
      </c>
      <c r="AC455" s="51"/>
      <c r="AD455" s="51"/>
      <c r="AE455" s="51"/>
      <c r="AF455" s="11"/>
      <c r="AG455" s="11" t="str">
        <f>IF(AB455&gt;AI455,"＞","＜")</f>
        <v>＜</v>
      </c>
      <c r="AH455" s="11"/>
      <c r="AI455" s="219">
        <v>1.2</v>
      </c>
      <c r="AJ455" s="51"/>
      <c r="AK455" s="51"/>
      <c r="AL455" s="11"/>
      <c r="AM455" s="11" t="str">
        <f>IF(AB455&lt;AI455,"O.K.","N.G.")</f>
        <v>O.K.</v>
      </c>
      <c r="AN455" s="11"/>
      <c r="AO455" s="11"/>
      <c r="AP455" s="11"/>
      <c r="AQ455" s="11"/>
      <c r="AR455" s="11"/>
      <c r="AS455" s="11"/>
    </row>
    <row r="456" spans="1:45" ht="18" customHeight="1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</row>
    <row r="457" spans="1:45" ht="18" customHeight="1">
      <c r="A457" s="11"/>
      <c r="B457" s="11"/>
      <c r="C457" s="11"/>
      <c r="D457" s="11"/>
      <c r="E457" s="11" t="s">
        <v>50</v>
      </c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</row>
    <row r="458" spans="1:45" ht="18" customHeight="1">
      <c r="A458" s="11"/>
      <c r="B458" s="11"/>
      <c r="C458" s="11"/>
      <c r="D458" s="11"/>
      <c r="E458" s="11"/>
      <c r="F458" s="295" t="s">
        <v>85</v>
      </c>
      <c r="G458" s="234" t="s">
        <v>97</v>
      </c>
      <c r="H458" s="234"/>
      <c r="I458" s="296">
        <v>0</v>
      </c>
      <c r="J458" s="51"/>
      <c r="K458" s="51"/>
      <c r="L458" s="51"/>
      <c r="M458" s="234" t="s">
        <v>98</v>
      </c>
      <c r="N458" s="234"/>
      <c r="O458" s="297">
        <v>0</v>
      </c>
      <c r="P458" s="51"/>
      <c r="Q458" s="51" t="s">
        <v>79</v>
      </c>
      <c r="R458" s="298" t="s">
        <v>85</v>
      </c>
      <c r="S458" s="234">
        <f>IF(AF447=R460,M447,IF(AF448=R460,M448,"ERROR"))</f>
        <v>-40.46891700678468</v>
      </c>
      <c r="T458" s="234"/>
      <c r="U458" s="234"/>
      <c r="V458" s="234"/>
      <c r="W458" s="234"/>
      <c r="X458" s="299">
        <v>0</v>
      </c>
      <c r="Y458" s="51"/>
      <c r="Z458" s="51" t="s">
        <v>78</v>
      </c>
      <c r="AA458" s="300" t="s">
        <v>85</v>
      </c>
      <c r="AB458" s="234">
        <f>Z417</f>
        <v>33.461113861852894</v>
      </c>
      <c r="AC458" s="234"/>
      <c r="AD458" s="234"/>
      <c r="AE458" s="234"/>
      <c r="AF458" s="234"/>
      <c r="AG458" s="301">
        <v>0</v>
      </c>
      <c r="AH458" s="5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</row>
    <row r="459" spans="1:45" ht="18" customHeight="1">
      <c r="A459" s="11"/>
      <c r="B459" s="11"/>
      <c r="C459" s="11"/>
      <c r="D459" s="11"/>
      <c r="E459" s="11"/>
      <c r="F459" s="51"/>
      <c r="G459" s="237" t="s">
        <v>99</v>
      </c>
      <c r="H459" s="237"/>
      <c r="I459" s="51"/>
      <c r="J459" s="51"/>
      <c r="K459" s="51"/>
      <c r="L459" s="51"/>
      <c r="M459" s="237" t="s">
        <v>100</v>
      </c>
      <c r="N459" s="237"/>
      <c r="O459" s="51"/>
      <c r="P459" s="51"/>
      <c r="Q459" s="51"/>
      <c r="R459" s="51"/>
      <c r="S459" s="237">
        <f>IF(AF447=R460,W447,IF(AF448=R460,W448,"ERROR"))</f>
        <v>135.962</v>
      </c>
      <c r="T459" s="237"/>
      <c r="U459" s="237"/>
      <c r="V459" s="237"/>
      <c r="W459" s="237"/>
      <c r="X459" s="51"/>
      <c r="Y459" s="51"/>
      <c r="Z459" s="51"/>
      <c r="AA459" s="51"/>
      <c r="AB459" s="237">
        <f>AJ417</f>
        <v>120</v>
      </c>
      <c r="AC459" s="237"/>
      <c r="AD459" s="237"/>
      <c r="AE459" s="237"/>
      <c r="AF459" s="237"/>
      <c r="AG459" s="51"/>
      <c r="AH459" s="5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</row>
    <row r="460" spans="1:45" ht="18" customHeight="1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 t="s">
        <v>79</v>
      </c>
      <c r="R460" s="51">
        <f>MAX(AF447:AF448)</f>
        <v>0.08859476812794939</v>
      </c>
      <c r="S460" s="51"/>
      <c r="T460" s="51"/>
      <c r="U460" s="51"/>
      <c r="V460" s="11" t="s">
        <v>78</v>
      </c>
      <c r="W460" s="51">
        <f>(Z417/AJ417)^2</f>
        <v>0.07775320422749192</v>
      </c>
      <c r="X460" s="51"/>
      <c r="Y460" s="51"/>
      <c r="Z460" s="51"/>
      <c r="AA460" s="11" t="s">
        <v>79</v>
      </c>
      <c r="AB460" s="51">
        <f>R460+W460</f>
        <v>0.1663479723554413</v>
      </c>
      <c r="AC460" s="51"/>
      <c r="AD460" s="51"/>
      <c r="AE460" s="51"/>
      <c r="AF460" s="11"/>
      <c r="AG460" s="11" t="str">
        <f>IF(AB460&gt;AI460,"＞","＜")</f>
        <v>＜</v>
      </c>
      <c r="AH460" s="11"/>
      <c r="AI460" s="219">
        <v>1.2</v>
      </c>
      <c r="AJ460" s="51"/>
      <c r="AK460" s="51"/>
      <c r="AL460" s="11"/>
      <c r="AM460" s="11" t="str">
        <f>IF(AB460&lt;AI460,"O.K.","N.G.")</f>
        <v>O.K.</v>
      </c>
      <c r="AN460" s="11"/>
      <c r="AO460" s="11"/>
      <c r="AP460" s="11"/>
      <c r="AQ460" s="11"/>
      <c r="AR460" s="11"/>
      <c r="AS460" s="11"/>
    </row>
    <row r="462" spans="21:31" ht="18" customHeight="1"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</row>
    <row r="469" spans="2:25" s="53" customFormat="1" ht="18" customHeight="1">
      <c r="B469" s="54" t="s">
        <v>278</v>
      </c>
      <c r="E469" s="55">
        <v>5</v>
      </c>
      <c r="F469" s="55"/>
      <c r="G469" s="53" t="s">
        <v>63</v>
      </c>
      <c r="K469" s="53" t="s">
        <v>109</v>
      </c>
      <c r="M469" s="55">
        <v>26</v>
      </c>
      <c r="N469" s="55"/>
      <c r="O469" s="53" t="s">
        <v>64</v>
      </c>
      <c r="V469" s="56">
        <v>0.627</v>
      </c>
      <c r="W469" s="56"/>
      <c r="X469" s="56"/>
      <c r="Y469" s="53" t="s">
        <v>65</v>
      </c>
    </row>
    <row r="470" spans="1:70" ht="18" customHeight="1">
      <c r="A470" s="163" t="s">
        <v>110</v>
      </c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 t="s">
        <v>111</v>
      </c>
      <c r="AA470" s="11"/>
      <c r="AB470" s="11"/>
      <c r="AC470" s="11"/>
      <c r="AD470" s="11"/>
      <c r="AE470" s="11"/>
      <c r="AF470" s="11"/>
      <c r="AG470" s="58" t="s">
        <v>11</v>
      </c>
      <c r="AH470" s="59"/>
      <c r="AI470" s="59"/>
      <c r="AJ470" s="59"/>
      <c r="AK470" s="60" t="s">
        <v>171</v>
      </c>
      <c r="AL470" s="11"/>
      <c r="AM470" s="11"/>
      <c r="AN470" s="11"/>
      <c r="AO470" s="11"/>
      <c r="AP470" s="11"/>
      <c r="AQ470" s="11"/>
      <c r="AT470" s="11"/>
      <c r="AU470" s="11"/>
      <c r="AV470" s="11"/>
      <c r="AW470" s="11"/>
      <c r="AX470" s="164"/>
      <c r="AY470" s="164"/>
      <c r="AZ470" s="165"/>
      <c r="BA470" s="165"/>
      <c r="BB470" s="165"/>
      <c r="BC470" s="165"/>
      <c r="BD470" s="165"/>
      <c r="BM470" s="165"/>
      <c r="BN470" s="165"/>
      <c r="BO470" s="165"/>
      <c r="BP470" s="165"/>
      <c r="BQ470" s="165"/>
      <c r="BR470" s="165"/>
    </row>
    <row r="471" spans="1:70" ht="18" customHeight="1">
      <c r="A471" s="11"/>
      <c r="B471" s="11"/>
      <c r="C471" s="11"/>
      <c r="D471" s="11"/>
      <c r="E471" s="164"/>
      <c r="F471" s="164"/>
      <c r="G471" s="164"/>
      <c r="H471" s="164"/>
      <c r="I471" s="164"/>
      <c r="J471" s="164"/>
      <c r="K471" s="164"/>
      <c r="M471" s="165"/>
      <c r="N471" s="165"/>
      <c r="O471" s="165"/>
      <c r="P471" s="165"/>
      <c r="Q471" s="165"/>
      <c r="R471" s="165"/>
      <c r="S471" s="165"/>
      <c r="T471" s="164"/>
      <c r="U471" s="164"/>
      <c r="V471" s="164"/>
      <c r="W471" s="164"/>
      <c r="X471" s="164"/>
      <c r="Y471" s="164"/>
      <c r="Z471" s="11"/>
      <c r="AA471" s="11"/>
      <c r="AB471" s="11"/>
      <c r="AC471" s="11"/>
      <c r="AD471" s="11"/>
      <c r="AT471" s="11"/>
      <c r="AU471" s="11"/>
      <c r="AV471" s="11"/>
      <c r="AW471" s="11"/>
      <c r="AX471" s="164"/>
      <c r="AY471" s="164"/>
      <c r="AZ471" s="165"/>
      <c r="BA471" s="165"/>
      <c r="BB471" s="165"/>
      <c r="BC471" s="165"/>
      <c r="BD471" s="165"/>
      <c r="BM471" s="165"/>
      <c r="BN471" s="165"/>
      <c r="BO471" s="165"/>
      <c r="BP471" s="165"/>
      <c r="BQ471" s="165"/>
      <c r="BR471" s="165"/>
    </row>
    <row r="472" spans="1:51" ht="18" customHeight="1">
      <c r="A472" s="11"/>
      <c r="B472" s="11"/>
      <c r="C472" s="11"/>
      <c r="D472" s="11"/>
      <c r="E472" s="164"/>
      <c r="F472" s="164"/>
      <c r="G472" s="164"/>
      <c r="L472" s="165"/>
      <c r="M472" s="165"/>
      <c r="N472" s="165"/>
      <c r="O472" s="165"/>
      <c r="P472" s="165"/>
      <c r="Q472" s="165"/>
      <c r="R472" s="165"/>
      <c r="S472" s="165"/>
      <c r="W472" s="165"/>
      <c r="X472" s="164"/>
      <c r="Y472" s="164"/>
      <c r="Z472" s="11"/>
      <c r="AA472" s="11"/>
      <c r="AB472" s="11"/>
      <c r="AC472" s="11"/>
      <c r="AD472" s="11"/>
      <c r="AE472" s="163" t="s">
        <v>66</v>
      </c>
      <c r="AF472" s="11"/>
      <c r="AG472" s="58">
        <v>2.6</v>
      </c>
      <c r="AH472" s="58"/>
      <c r="AI472" s="58"/>
      <c r="AJ472" s="11" t="s">
        <v>65</v>
      </c>
      <c r="AK472" s="11"/>
      <c r="AL472" s="11"/>
      <c r="AM472" s="11"/>
      <c r="AN472" s="11"/>
      <c r="AO472" s="11"/>
      <c r="AP472" s="11"/>
      <c r="AQ472" s="11"/>
      <c r="AT472" s="11"/>
      <c r="AU472" s="11"/>
      <c r="AV472" s="11"/>
      <c r="AW472" s="11"/>
      <c r="AX472" s="164"/>
      <c r="AY472" s="11"/>
    </row>
    <row r="473" spans="1:51" ht="18" customHeight="1">
      <c r="A473" s="11"/>
      <c r="B473" s="11"/>
      <c r="C473" s="11"/>
      <c r="D473" s="11"/>
      <c r="E473" s="11"/>
      <c r="F473" s="11"/>
      <c r="G473" s="11"/>
      <c r="H473" s="165"/>
      <c r="I473" s="165"/>
      <c r="J473" s="165"/>
      <c r="K473" s="165"/>
      <c r="L473" s="165"/>
      <c r="M473" s="165"/>
      <c r="N473" s="165"/>
      <c r="O473" s="165"/>
      <c r="P473" s="165"/>
      <c r="Q473" s="165"/>
      <c r="R473" s="165"/>
      <c r="S473" s="165"/>
      <c r="T473" s="165"/>
      <c r="U473" s="165"/>
      <c r="V473" s="165"/>
      <c r="W473" s="11"/>
      <c r="X473" s="11"/>
      <c r="Y473" s="11"/>
      <c r="Z473" s="11"/>
      <c r="AA473" s="11"/>
      <c r="AB473" s="11"/>
      <c r="AC473" s="11"/>
      <c r="AD473" s="11"/>
      <c r="AE473" s="11" t="s">
        <v>112</v>
      </c>
      <c r="AF473" s="11"/>
      <c r="AG473" s="58">
        <v>1.2</v>
      </c>
      <c r="AH473" s="58"/>
      <c r="AI473" s="58"/>
      <c r="AJ473" s="11" t="s">
        <v>113</v>
      </c>
      <c r="AK473" s="11" t="s">
        <v>114</v>
      </c>
      <c r="AL473" s="11"/>
      <c r="AM473" s="58">
        <v>1.2</v>
      </c>
      <c r="AN473" s="58"/>
      <c r="AO473" s="58"/>
      <c r="AP473" s="11" t="s">
        <v>115</v>
      </c>
      <c r="AQ473" s="11"/>
      <c r="AT473" s="11"/>
      <c r="AU473" s="11"/>
      <c r="AV473" s="11"/>
      <c r="AW473" s="11"/>
      <c r="AX473" s="11"/>
      <c r="AY473" s="11"/>
    </row>
    <row r="474" spans="1:51" ht="18" customHeight="1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C474" s="11"/>
      <c r="AD474" s="11"/>
      <c r="AE474" s="11" t="s">
        <v>116</v>
      </c>
      <c r="AF474" s="11"/>
      <c r="AG474" s="58">
        <v>2.1</v>
      </c>
      <c r="AH474" s="58"/>
      <c r="AI474" s="58"/>
      <c r="AJ474" s="11" t="s">
        <v>115</v>
      </c>
      <c r="AT474" s="11"/>
      <c r="AU474" s="11"/>
      <c r="AV474" s="11"/>
      <c r="AW474" s="11"/>
      <c r="AX474" s="11"/>
      <c r="AY474" s="11"/>
    </row>
    <row r="475" spans="1:51" ht="18" customHeight="1">
      <c r="A475" s="11"/>
      <c r="B475" s="11"/>
      <c r="C475" s="11"/>
      <c r="D475" s="11"/>
      <c r="E475" s="11"/>
      <c r="F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66"/>
      <c r="AC475" s="11"/>
      <c r="AD475" s="11"/>
      <c r="AE475" s="163" t="s">
        <v>51</v>
      </c>
      <c r="AK475" s="11"/>
      <c r="AL475" s="11"/>
      <c r="AM475" s="11"/>
      <c r="AN475" s="11"/>
      <c r="AO475" s="11"/>
      <c r="AP475" s="11"/>
      <c r="AQ475" s="11"/>
      <c r="AT475" s="11"/>
      <c r="AU475" s="11"/>
      <c r="AV475" s="11"/>
      <c r="AW475" s="11"/>
      <c r="AX475" s="11"/>
      <c r="AY475" s="11"/>
    </row>
    <row r="476" spans="1:51" ht="18" customHeight="1">
      <c r="A476" s="11"/>
      <c r="B476" s="11"/>
      <c r="C476" s="11"/>
      <c r="D476" s="11"/>
      <c r="E476" s="11"/>
      <c r="F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C476" s="11"/>
      <c r="AD476" s="11"/>
      <c r="AE476" s="163" t="s">
        <v>117</v>
      </c>
      <c r="AF476" s="11"/>
      <c r="AG476" s="51">
        <f>AG473+AM473+AG482*2</f>
        <v>2.6399999999999997</v>
      </c>
      <c r="AH476" s="51"/>
      <c r="AI476" s="51"/>
      <c r="AJ476" s="11" t="s">
        <v>113</v>
      </c>
      <c r="AK476" s="163" t="s">
        <v>118</v>
      </c>
      <c r="AL476" s="11"/>
      <c r="AM476" s="51">
        <f>AG474+AG483*2</f>
        <v>2.34</v>
      </c>
      <c r="AN476" s="51"/>
      <c r="AO476" s="51"/>
      <c r="AP476" s="11" t="s">
        <v>115</v>
      </c>
      <c r="AQ476" s="11"/>
      <c r="AT476" s="11"/>
      <c r="AU476" s="11"/>
      <c r="AV476" s="11"/>
      <c r="AW476" s="11"/>
      <c r="AX476" s="11"/>
      <c r="AY476" s="11"/>
    </row>
    <row r="477" spans="1:51" ht="18" customHeight="1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67" t="str">
        <f>C498&amp;" - "&amp;AG484&amp;" x "&amp;AJ484</f>
        <v>5 - 150 x 14</v>
      </c>
      <c r="N477" s="167"/>
      <c r="O477" s="167"/>
      <c r="P477" s="167"/>
      <c r="Q477" s="167"/>
      <c r="R477" s="167"/>
      <c r="S477" s="11"/>
      <c r="T477" s="11"/>
      <c r="U477" s="11"/>
      <c r="V477" s="11"/>
      <c r="W477" s="11"/>
      <c r="X477" s="11"/>
      <c r="Y477" s="11"/>
      <c r="Z477" s="11"/>
      <c r="AA477" s="11"/>
      <c r="AC477" s="11"/>
      <c r="AD477" s="11"/>
      <c r="AE477" s="163" t="s">
        <v>119</v>
      </c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T477" s="11"/>
      <c r="AU477" s="11"/>
      <c r="AV477" s="11"/>
      <c r="AW477" s="11"/>
      <c r="AX477" s="11"/>
      <c r="AY477" s="11"/>
    </row>
    <row r="478" spans="1:81" ht="18" customHeight="1">
      <c r="A478" s="11"/>
      <c r="B478" s="11"/>
      <c r="C478" s="11"/>
      <c r="D478" s="11"/>
      <c r="E478" s="11"/>
      <c r="F478" s="11"/>
      <c r="G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C478" s="11"/>
      <c r="AD478" s="11"/>
      <c r="AE478" s="163" t="s">
        <v>120</v>
      </c>
      <c r="AF478" s="11"/>
      <c r="AG478" s="58">
        <v>2.64</v>
      </c>
      <c r="AH478" s="58"/>
      <c r="AI478" s="58"/>
      <c r="AJ478" s="11" t="s">
        <v>113</v>
      </c>
      <c r="AK478" s="163" t="s">
        <v>121</v>
      </c>
      <c r="AL478" s="11"/>
      <c r="AM478" s="58">
        <v>2.34</v>
      </c>
      <c r="AN478" s="58"/>
      <c r="AO478" s="58"/>
      <c r="AP478" s="11" t="s">
        <v>115</v>
      </c>
      <c r="AQ478" s="11"/>
      <c r="AT478" s="11"/>
      <c r="AU478" s="11"/>
      <c r="AV478" s="11"/>
      <c r="AW478" s="11"/>
      <c r="AX478" s="11"/>
      <c r="AY478" s="11"/>
      <c r="CA478" s="168"/>
      <c r="CB478" s="168"/>
      <c r="CC478" s="168"/>
    </row>
    <row r="479" spans="1:81" ht="18" customHeight="1">
      <c r="A479" s="11"/>
      <c r="B479" s="11"/>
      <c r="C479" s="11"/>
      <c r="D479" s="169" t="s">
        <v>295</v>
      </c>
      <c r="E479" s="169"/>
      <c r="F479" s="170">
        <f>DEGREES(ATAN((AG473-AG474/2)/AG472))</f>
        <v>3.301865674435001</v>
      </c>
      <c r="G479" s="170"/>
      <c r="H479" s="170"/>
      <c r="I479" s="69" t="s">
        <v>122</v>
      </c>
      <c r="J479" s="11"/>
      <c r="K479" s="11"/>
      <c r="L479" s="11"/>
      <c r="M479" s="11"/>
      <c r="N479" s="167" t="str">
        <f>C501&amp;" - "&amp;AN484&amp;" x "&amp;AQ484</f>
        <v>2 - 150 x 14</v>
      </c>
      <c r="O479" s="167"/>
      <c r="P479" s="167"/>
      <c r="Q479" s="167"/>
      <c r="R479" s="167"/>
      <c r="S479" s="167"/>
      <c r="T479" s="11"/>
      <c r="U479" s="11"/>
      <c r="V479" s="169" t="s">
        <v>296</v>
      </c>
      <c r="W479" s="169"/>
      <c r="X479" s="170">
        <f>DEGREES(ATAN((AM473-AG474/2)/AG472))</f>
        <v>3.301865674435001</v>
      </c>
      <c r="Y479" s="170"/>
      <c r="Z479" s="170"/>
      <c r="AA479" s="69" t="s">
        <v>122</v>
      </c>
      <c r="AB479" s="11"/>
      <c r="AC479" s="11"/>
      <c r="AD479" s="11"/>
      <c r="AE479" s="163" t="s">
        <v>67</v>
      </c>
      <c r="AF479" s="11"/>
      <c r="AG479" s="58">
        <v>0.021</v>
      </c>
      <c r="AH479" s="58"/>
      <c r="AI479" s="58"/>
      <c r="AJ479" s="11" t="s">
        <v>65</v>
      </c>
      <c r="AK479" s="11"/>
      <c r="AL479" s="11"/>
      <c r="AM479" s="11"/>
      <c r="AN479" s="11"/>
      <c r="AO479" s="11"/>
      <c r="AP479" s="11"/>
      <c r="AQ479" s="11"/>
      <c r="AT479" s="11"/>
      <c r="AU479" s="11"/>
      <c r="AV479" s="11"/>
      <c r="AW479" s="169"/>
      <c r="AX479" s="169"/>
      <c r="AY479" s="11"/>
      <c r="CA479" s="168"/>
      <c r="CB479" s="168"/>
      <c r="CC479" s="168"/>
    </row>
    <row r="480" spans="1:81" ht="18" customHeight="1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63" t="s">
        <v>68</v>
      </c>
      <c r="AF480" s="11"/>
      <c r="AG480" s="58">
        <v>0.021</v>
      </c>
      <c r="AH480" s="58"/>
      <c r="AI480" s="58"/>
      <c r="AJ480" s="11" t="s">
        <v>65</v>
      </c>
      <c r="AK480" s="11"/>
      <c r="AL480" s="11"/>
      <c r="AM480" s="11"/>
      <c r="AN480" s="11"/>
      <c r="AO480" s="11"/>
      <c r="AP480" s="11"/>
      <c r="AQ480" s="11"/>
      <c r="AT480" s="11"/>
      <c r="AU480" s="11"/>
      <c r="AV480" s="11"/>
      <c r="AW480" s="11"/>
      <c r="AX480" s="11"/>
      <c r="AY480" s="11"/>
      <c r="CA480" s="168"/>
      <c r="CB480" s="168"/>
      <c r="CC480" s="168"/>
    </row>
    <row r="481" spans="1:81" ht="18" customHeight="1">
      <c r="A481" s="11"/>
      <c r="B481" s="11"/>
      <c r="C481" s="11"/>
      <c r="D481" s="11"/>
      <c r="E481" s="11"/>
      <c r="F481" s="11"/>
      <c r="G481" s="11"/>
      <c r="H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63" t="s">
        <v>69</v>
      </c>
      <c r="AF481" s="11"/>
      <c r="AG481" s="58">
        <v>0.01</v>
      </c>
      <c r="AH481" s="58"/>
      <c r="AI481" s="58"/>
      <c r="AJ481" s="11" t="s">
        <v>65</v>
      </c>
      <c r="AK481" s="11"/>
      <c r="AL481" s="11"/>
      <c r="AM481" s="11"/>
      <c r="AN481" s="11"/>
      <c r="AO481" s="11"/>
      <c r="AP481" s="11"/>
      <c r="AQ481" s="11"/>
      <c r="CA481" s="168"/>
      <c r="CB481" s="168"/>
      <c r="CC481" s="168"/>
    </row>
    <row r="482" spans="1:81" ht="18" customHeight="1">
      <c r="A482" s="11"/>
      <c r="B482" s="11"/>
      <c r="E482" s="165"/>
      <c r="F482" s="165"/>
      <c r="G482" s="165"/>
      <c r="H482" s="165"/>
      <c r="I482" s="165"/>
      <c r="J482" s="171"/>
      <c r="K482" s="165"/>
      <c r="L482" s="165"/>
      <c r="M482" s="165"/>
      <c r="N482" s="165"/>
      <c r="O482" s="165"/>
      <c r="P482" s="165"/>
      <c r="Q482" s="165"/>
      <c r="R482" s="165"/>
      <c r="S482" s="165"/>
      <c r="T482" s="172"/>
      <c r="U482" s="165"/>
      <c r="V482" s="165"/>
      <c r="AD482" s="11"/>
      <c r="AE482" s="162" t="s">
        <v>123</v>
      </c>
      <c r="AG482" s="56">
        <v>0.12</v>
      </c>
      <c r="AH482" s="56"/>
      <c r="AI482" s="56"/>
      <c r="AJ482" s="162" t="s">
        <v>65</v>
      </c>
      <c r="AK482" s="11"/>
      <c r="AL482" s="11"/>
      <c r="AM482" s="11"/>
      <c r="AN482" s="11"/>
      <c r="AO482" s="11"/>
      <c r="AP482" s="11"/>
      <c r="AQ482" s="11"/>
      <c r="AX482" s="165"/>
      <c r="CA482" s="168"/>
      <c r="CB482" s="168"/>
      <c r="CC482" s="168"/>
    </row>
    <row r="483" spans="5:50" ht="18" customHeight="1">
      <c r="E483" s="165"/>
      <c r="F483" s="165"/>
      <c r="G483" s="165"/>
      <c r="H483" s="165"/>
      <c r="I483" s="165"/>
      <c r="J483" s="165"/>
      <c r="K483" s="165"/>
      <c r="N483" s="165"/>
      <c r="O483" s="165"/>
      <c r="P483" s="165"/>
      <c r="Q483" s="165"/>
      <c r="R483" s="165"/>
      <c r="S483" s="165"/>
      <c r="T483" s="165"/>
      <c r="U483" s="165"/>
      <c r="V483" s="165"/>
      <c r="AE483" s="162" t="s">
        <v>124</v>
      </c>
      <c r="AG483" s="56">
        <v>0.12</v>
      </c>
      <c r="AH483" s="56"/>
      <c r="AI483" s="56"/>
      <c r="AJ483" s="162" t="s">
        <v>65</v>
      </c>
      <c r="AX483" s="165"/>
    </row>
    <row r="484" spans="31:45" ht="18" customHeight="1">
      <c r="AE484" s="162" t="s">
        <v>70</v>
      </c>
      <c r="AG484" s="55">
        <v>150</v>
      </c>
      <c r="AH484" s="55"/>
      <c r="AI484" s="173" t="s">
        <v>125</v>
      </c>
      <c r="AJ484" s="55">
        <v>14</v>
      </c>
      <c r="AK484" s="55"/>
      <c r="AL484" s="162" t="s">
        <v>71</v>
      </c>
      <c r="AM484" s="162" t="s">
        <v>113</v>
      </c>
      <c r="AN484" s="55">
        <v>150</v>
      </c>
      <c r="AO484" s="55"/>
      <c r="AP484" s="173" t="s">
        <v>125</v>
      </c>
      <c r="AQ484" s="55">
        <v>14</v>
      </c>
      <c r="AR484" s="55"/>
      <c r="AS484" s="162" t="s">
        <v>71</v>
      </c>
    </row>
    <row r="485" spans="33:83" ht="18" customHeight="1">
      <c r="AG485" s="174"/>
      <c r="AH485" s="174"/>
      <c r="AI485" s="173"/>
      <c r="AJ485" s="174"/>
      <c r="AK485" s="174"/>
      <c r="AN485" s="174"/>
      <c r="AO485" s="174"/>
      <c r="AP485" s="173"/>
      <c r="AQ485" s="174"/>
      <c r="AR485" s="174"/>
      <c r="CA485" s="174"/>
      <c r="CB485" s="173"/>
      <c r="CD485" s="174"/>
      <c r="CE485" s="173"/>
    </row>
    <row r="486" spans="4:54" ht="18" customHeight="1">
      <c r="D486" s="175" t="s">
        <v>126</v>
      </c>
      <c r="E486" s="176"/>
      <c r="F486" s="176"/>
      <c r="G486" s="176"/>
      <c r="H486" s="176"/>
      <c r="I486" s="176"/>
      <c r="J486" s="176"/>
      <c r="K486" s="176"/>
      <c r="L486" s="176"/>
      <c r="M486" s="176"/>
      <c r="N486" s="176"/>
      <c r="O486" s="176"/>
      <c r="P486" s="176"/>
      <c r="Q486" s="176"/>
      <c r="R486" s="176"/>
      <c r="S486" s="176"/>
      <c r="T486" s="176"/>
      <c r="U486" s="176"/>
      <c r="V486" s="176"/>
      <c r="W486" s="176"/>
      <c r="X486" s="176"/>
      <c r="Y486" s="176"/>
      <c r="Z486" s="176"/>
      <c r="AA486" s="176"/>
      <c r="AB486" s="177"/>
      <c r="AC486" s="175" t="s">
        <v>127</v>
      </c>
      <c r="AD486" s="49"/>
      <c r="AE486" s="49"/>
      <c r="AF486" s="50"/>
      <c r="AG486" s="178" t="s">
        <v>128</v>
      </c>
      <c r="AH486" s="176"/>
      <c r="AI486" s="176"/>
      <c r="AJ486" s="176"/>
      <c r="AK486" s="176"/>
      <c r="AL486" s="177"/>
      <c r="AU486" s="11"/>
      <c r="AV486" s="11"/>
      <c r="AW486" s="11"/>
      <c r="AX486" s="11"/>
      <c r="AY486" s="11"/>
      <c r="AZ486" s="11"/>
      <c r="BA486" s="11"/>
      <c r="BB486" s="11"/>
    </row>
    <row r="487" spans="4:54" ht="18" customHeight="1">
      <c r="D487" s="179" t="s">
        <v>129</v>
      </c>
      <c r="E487" s="180"/>
      <c r="F487" s="180"/>
      <c r="G487" s="180"/>
      <c r="H487" s="180"/>
      <c r="I487" s="180"/>
      <c r="J487" s="180"/>
      <c r="K487" s="180"/>
      <c r="L487" s="180"/>
      <c r="M487" s="180"/>
      <c r="N487" s="180"/>
      <c r="O487" s="180"/>
      <c r="P487" s="180"/>
      <c r="Q487" s="180"/>
      <c r="R487" s="180"/>
      <c r="S487" s="180"/>
      <c r="T487" s="180"/>
      <c r="U487" s="180"/>
      <c r="V487" s="180"/>
      <c r="W487" s="180"/>
      <c r="X487" s="180"/>
      <c r="Y487" s="180"/>
      <c r="Z487" s="180"/>
      <c r="AA487" s="180"/>
      <c r="AB487" s="181"/>
      <c r="AC487" s="182" t="s">
        <v>28</v>
      </c>
      <c r="AD487" s="182"/>
      <c r="AE487" s="182"/>
      <c r="AF487" s="182"/>
      <c r="AG487" s="82">
        <v>200000</v>
      </c>
      <c r="AH487" s="83"/>
      <c r="AI487" s="83"/>
      <c r="AJ487" s="83"/>
      <c r="AK487" s="83"/>
      <c r="AL487" s="84"/>
      <c r="AU487" s="11"/>
      <c r="AV487" s="11"/>
      <c r="AW487" s="11"/>
      <c r="AX487" s="11"/>
      <c r="AY487" s="11"/>
      <c r="AZ487" s="11"/>
      <c r="BA487" s="11"/>
      <c r="BB487" s="11"/>
    </row>
    <row r="488" spans="4:54" ht="18" customHeight="1">
      <c r="D488" s="179" t="s">
        <v>52</v>
      </c>
      <c r="E488" s="180"/>
      <c r="F488" s="180"/>
      <c r="G488" s="180"/>
      <c r="H488" s="180"/>
      <c r="I488" s="180"/>
      <c r="J488" s="180"/>
      <c r="K488" s="180"/>
      <c r="L488" s="180"/>
      <c r="M488" s="180"/>
      <c r="N488" s="180"/>
      <c r="O488" s="180"/>
      <c r="P488" s="180"/>
      <c r="Q488" s="180"/>
      <c r="R488" s="180"/>
      <c r="S488" s="180"/>
      <c r="T488" s="180"/>
      <c r="U488" s="180"/>
      <c r="V488" s="180"/>
      <c r="W488" s="180"/>
      <c r="X488" s="180"/>
      <c r="Y488" s="180"/>
      <c r="Z488" s="180"/>
      <c r="AA488" s="180"/>
      <c r="AB488" s="181"/>
      <c r="AC488" s="183" t="s">
        <v>130</v>
      </c>
      <c r="AD488" s="182"/>
      <c r="AE488" s="182"/>
      <c r="AF488" s="184"/>
      <c r="AG488" s="87">
        <v>3918.615</v>
      </c>
      <c r="AH488" s="88"/>
      <c r="AI488" s="88"/>
      <c r="AJ488" s="88"/>
      <c r="AK488" s="88"/>
      <c r="AL488" s="89"/>
      <c r="AU488" s="11"/>
      <c r="AV488" s="11"/>
      <c r="AW488" s="11"/>
      <c r="AX488" s="11"/>
      <c r="AY488" s="11"/>
      <c r="AZ488" s="11"/>
      <c r="BA488" s="11"/>
      <c r="BB488" s="11"/>
    </row>
    <row r="489" spans="4:54" ht="18" customHeight="1">
      <c r="D489" s="179" t="s">
        <v>102</v>
      </c>
      <c r="E489" s="180"/>
      <c r="F489" s="180"/>
      <c r="G489" s="180"/>
      <c r="H489" s="180"/>
      <c r="I489" s="180"/>
      <c r="J489" s="180"/>
      <c r="K489" s="180"/>
      <c r="L489" s="180"/>
      <c r="M489" s="180"/>
      <c r="N489" s="180"/>
      <c r="O489" s="180"/>
      <c r="P489" s="180"/>
      <c r="Q489" s="180"/>
      <c r="R489" s="180"/>
      <c r="S489" s="180"/>
      <c r="T489" s="180"/>
      <c r="U489" s="180"/>
      <c r="V489" s="180"/>
      <c r="W489" s="180"/>
      <c r="X489" s="180"/>
      <c r="Y489" s="180"/>
      <c r="Z489" s="180"/>
      <c r="AA489" s="180"/>
      <c r="AB489" s="181"/>
      <c r="AC489" s="183" t="s">
        <v>130</v>
      </c>
      <c r="AD489" s="182"/>
      <c r="AE489" s="182"/>
      <c r="AF489" s="184"/>
      <c r="AG489" s="87">
        <v>3673.6</v>
      </c>
      <c r="AH489" s="88"/>
      <c r="AI489" s="88"/>
      <c r="AJ489" s="88"/>
      <c r="AK489" s="88"/>
      <c r="AL489" s="89"/>
      <c r="AU489" s="11"/>
      <c r="AV489" s="11"/>
      <c r="AW489" s="11"/>
      <c r="AX489" s="11"/>
      <c r="AY489" s="11"/>
      <c r="AZ489" s="11"/>
      <c r="BA489" s="11"/>
      <c r="BB489" s="11"/>
    </row>
    <row r="490" spans="4:54" ht="18" customHeight="1">
      <c r="D490" s="179" t="s">
        <v>53</v>
      </c>
      <c r="E490" s="180"/>
      <c r="F490" s="180"/>
      <c r="G490" s="180"/>
      <c r="H490" s="180"/>
      <c r="I490" s="180"/>
      <c r="J490" s="180"/>
      <c r="K490" s="180"/>
      <c r="L490" s="180"/>
      <c r="M490" s="180"/>
      <c r="N490" s="180"/>
      <c r="O490" s="180"/>
      <c r="P490" s="180"/>
      <c r="Q490" s="180"/>
      <c r="R490" s="180"/>
      <c r="S490" s="180"/>
      <c r="T490" s="180"/>
      <c r="U490" s="180"/>
      <c r="V490" s="180"/>
      <c r="W490" s="180"/>
      <c r="X490" s="180"/>
      <c r="Y490" s="180"/>
      <c r="Z490" s="180"/>
      <c r="AA490" s="180"/>
      <c r="AB490" s="181"/>
      <c r="AC490" s="183" t="s">
        <v>131</v>
      </c>
      <c r="AD490" s="182"/>
      <c r="AE490" s="182"/>
      <c r="AF490" s="184"/>
      <c r="AG490" s="87">
        <v>400.809</v>
      </c>
      <c r="AH490" s="88"/>
      <c r="AI490" s="88"/>
      <c r="AJ490" s="88"/>
      <c r="AK490" s="88"/>
      <c r="AL490" s="89"/>
      <c r="AU490" s="11"/>
      <c r="AV490" s="11"/>
      <c r="AW490" s="11"/>
      <c r="AX490" s="11"/>
      <c r="AY490" s="11"/>
      <c r="AZ490" s="11"/>
      <c r="BA490" s="11"/>
      <c r="BB490" s="11"/>
    </row>
    <row r="491" spans="4:54" ht="18" customHeight="1">
      <c r="D491" s="179" t="s">
        <v>103</v>
      </c>
      <c r="E491" s="180"/>
      <c r="F491" s="180"/>
      <c r="G491" s="180"/>
      <c r="H491" s="180"/>
      <c r="I491" s="180"/>
      <c r="J491" s="180"/>
      <c r="K491" s="180"/>
      <c r="L491" s="180"/>
      <c r="M491" s="180"/>
      <c r="N491" s="180"/>
      <c r="O491" s="180"/>
      <c r="P491" s="180"/>
      <c r="Q491" s="180"/>
      <c r="R491" s="180"/>
      <c r="S491" s="180"/>
      <c r="T491" s="180"/>
      <c r="U491" s="180"/>
      <c r="V491" s="180"/>
      <c r="W491" s="180"/>
      <c r="X491" s="180"/>
      <c r="Y491" s="180"/>
      <c r="Z491" s="180"/>
      <c r="AA491" s="180"/>
      <c r="AB491" s="181"/>
      <c r="AC491" s="183" t="s">
        <v>131</v>
      </c>
      <c r="AD491" s="182"/>
      <c r="AE491" s="182"/>
      <c r="AF491" s="184"/>
      <c r="AG491" s="87">
        <v>349.474</v>
      </c>
      <c r="AH491" s="88"/>
      <c r="AI491" s="88"/>
      <c r="AJ491" s="88"/>
      <c r="AK491" s="88"/>
      <c r="AL491" s="89"/>
      <c r="AU491" s="11"/>
      <c r="AV491" s="11"/>
      <c r="AW491" s="11"/>
      <c r="AX491" s="11"/>
      <c r="AY491" s="11"/>
      <c r="AZ491" s="11"/>
      <c r="BA491" s="11"/>
      <c r="BB491" s="11"/>
    </row>
    <row r="492" spans="4:54" ht="18" customHeight="1">
      <c r="D492" s="179" t="s">
        <v>54</v>
      </c>
      <c r="E492" s="180"/>
      <c r="F492" s="180"/>
      <c r="G492" s="180"/>
      <c r="H492" s="180"/>
      <c r="I492" s="180"/>
      <c r="J492" s="180"/>
      <c r="K492" s="180"/>
      <c r="L492" s="180"/>
      <c r="M492" s="180"/>
      <c r="N492" s="180"/>
      <c r="O492" s="180"/>
      <c r="P492" s="180"/>
      <c r="Q492" s="180"/>
      <c r="R492" s="180"/>
      <c r="S492" s="180"/>
      <c r="T492" s="180"/>
      <c r="U492" s="180"/>
      <c r="V492" s="180"/>
      <c r="W492" s="180"/>
      <c r="X492" s="180"/>
      <c r="Y492" s="180"/>
      <c r="Z492" s="180"/>
      <c r="AA492" s="180"/>
      <c r="AB492" s="181"/>
      <c r="AC492" s="183" t="s">
        <v>130</v>
      </c>
      <c r="AD492" s="182"/>
      <c r="AE492" s="182"/>
      <c r="AF492" s="184"/>
      <c r="AG492" s="87">
        <v>11.47</v>
      </c>
      <c r="AH492" s="88"/>
      <c r="AI492" s="88"/>
      <c r="AJ492" s="88"/>
      <c r="AK492" s="88"/>
      <c r="AL492" s="89"/>
      <c r="AU492" s="11"/>
      <c r="AV492" s="11"/>
      <c r="AW492" s="11"/>
      <c r="AX492" s="11"/>
      <c r="AY492" s="11"/>
      <c r="AZ492" s="11"/>
      <c r="BA492" s="11"/>
      <c r="BB492" s="11"/>
    </row>
    <row r="493" spans="4:54" ht="18" customHeight="1">
      <c r="D493" s="179" t="s">
        <v>104</v>
      </c>
      <c r="E493" s="180"/>
      <c r="F493" s="180"/>
      <c r="G493" s="180"/>
      <c r="H493" s="180"/>
      <c r="I493" s="180"/>
      <c r="J493" s="180"/>
      <c r="K493" s="180"/>
      <c r="L493" s="180"/>
      <c r="M493" s="180"/>
      <c r="N493" s="180"/>
      <c r="O493" s="180"/>
      <c r="P493" s="180"/>
      <c r="Q493" s="180"/>
      <c r="R493" s="180"/>
      <c r="S493" s="180"/>
      <c r="T493" s="180"/>
      <c r="U493" s="180"/>
      <c r="V493" s="180"/>
      <c r="W493" s="180"/>
      <c r="X493" s="180"/>
      <c r="Y493" s="180"/>
      <c r="Z493" s="180"/>
      <c r="AA493" s="180"/>
      <c r="AB493" s="181"/>
      <c r="AC493" s="183" t="s">
        <v>130</v>
      </c>
      <c r="AD493" s="182"/>
      <c r="AE493" s="182"/>
      <c r="AF493" s="184"/>
      <c r="AG493" s="87">
        <v>149.703</v>
      </c>
      <c r="AH493" s="88"/>
      <c r="AI493" s="88"/>
      <c r="AJ493" s="88"/>
      <c r="AK493" s="88"/>
      <c r="AL493" s="89"/>
      <c r="AU493" s="11"/>
      <c r="AV493" s="11"/>
      <c r="AW493" s="11"/>
      <c r="AX493" s="11"/>
      <c r="AY493" s="11"/>
      <c r="AZ493" s="11"/>
      <c r="BA493" s="11"/>
      <c r="BB493" s="11"/>
    </row>
    <row r="494" spans="47:54" ht="18" customHeight="1">
      <c r="AU494" s="11"/>
      <c r="AV494" s="11"/>
      <c r="AW494" s="11"/>
      <c r="AX494" s="11"/>
      <c r="AY494" s="11"/>
      <c r="AZ494" s="11"/>
      <c r="BA494" s="11"/>
      <c r="BB494" s="11"/>
    </row>
    <row r="495" spans="4:54" ht="18" customHeight="1">
      <c r="D495" s="162" t="s">
        <v>132</v>
      </c>
      <c r="AU495" s="11"/>
      <c r="AV495" s="11"/>
      <c r="AW495" s="11"/>
      <c r="AX495" s="11"/>
      <c r="AY495" s="11"/>
      <c r="AZ495" s="11"/>
      <c r="BA495" s="11"/>
      <c r="BB495" s="11"/>
    </row>
    <row r="496" spans="3:54" ht="18" customHeight="1">
      <c r="C496" s="175" t="s">
        <v>133</v>
      </c>
      <c r="D496" s="176"/>
      <c r="E496" s="176"/>
      <c r="F496" s="176"/>
      <c r="G496" s="176"/>
      <c r="H496" s="176"/>
      <c r="I496" s="176"/>
      <c r="J496" s="177"/>
      <c r="K496" s="178" t="s">
        <v>134</v>
      </c>
      <c r="L496" s="176"/>
      <c r="M496" s="177"/>
      <c r="N496" s="178" t="s">
        <v>135</v>
      </c>
      <c r="O496" s="176"/>
      <c r="P496" s="177"/>
      <c r="Q496" s="178" t="s">
        <v>136</v>
      </c>
      <c r="R496" s="176"/>
      <c r="S496" s="176"/>
      <c r="T496" s="177"/>
      <c r="U496" s="178" t="s">
        <v>137</v>
      </c>
      <c r="V496" s="176"/>
      <c r="W496" s="176"/>
      <c r="X496" s="177"/>
      <c r="Y496" s="178" t="s">
        <v>138</v>
      </c>
      <c r="Z496" s="176"/>
      <c r="AA496" s="176"/>
      <c r="AB496" s="176"/>
      <c r="AC496" s="177"/>
      <c r="AD496" s="178" t="s">
        <v>29</v>
      </c>
      <c r="AE496" s="176"/>
      <c r="AF496" s="176"/>
      <c r="AG496" s="176"/>
      <c r="AH496" s="176"/>
      <c r="AI496" s="177"/>
      <c r="AJ496" s="178" t="s">
        <v>30</v>
      </c>
      <c r="AK496" s="176"/>
      <c r="AL496" s="176"/>
      <c r="AM496" s="176"/>
      <c r="AN496" s="176"/>
      <c r="AO496" s="177"/>
      <c r="AU496" s="11"/>
      <c r="AV496" s="11"/>
      <c r="AW496" s="11"/>
      <c r="AX496" s="11"/>
      <c r="AY496" s="11"/>
      <c r="AZ496" s="11"/>
      <c r="BA496" s="11"/>
      <c r="BB496" s="11"/>
    </row>
    <row r="497" spans="3:54" ht="18" customHeight="1">
      <c r="C497" s="185">
        <v>1</v>
      </c>
      <c r="D497" s="180" t="s">
        <v>72</v>
      </c>
      <c r="E497" s="180" t="s">
        <v>73</v>
      </c>
      <c r="F497" s="180"/>
      <c r="G497" s="180"/>
      <c r="H497" s="180"/>
      <c r="I497" s="180"/>
      <c r="J497" s="181"/>
      <c r="K497" s="186">
        <f>AG478*1000</f>
        <v>2640</v>
      </c>
      <c r="L497" s="187"/>
      <c r="M497" s="188"/>
      <c r="N497" s="186">
        <f>AG479*1000</f>
        <v>21</v>
      </c>
      <c r="O497" s="187"/>
      <c r="P497" s="188"/>
      <c r="Q497" s="189">
        <f aca="true" t="shared" si="12" ref="Q497:Q502">C497*K497*N497</f>
        <v>55440</v>
      </c>
      <c r="R497" s="190"/>
      <c r="S497" s="190"/>
      <c r="T497" s="191"/>
      <c r="U497" s="192">
        <f>-(N497+AG472*1000)/2</f>
        <v>-1310.5</v>
      </c>
      <c r="V497" s="193"/>
      <c r="W497" s="193"/>
      <c r="X497" s="194"/>
      <c r="Y497" s="189">
        <f aca="true" t="shared" si="13" ref="Y497:Y502">Q497*U497</f>
        <v>-72654120</v>
      </c>
      <c r="Z497" s="190"/>
      <c r="AA497" s="190"/>
      <c r="AB497" s="190"/>
      <c r="AC497" s="191"/>
      <c r="AD497" s="189">
        <f aca="true" t="shared" si="14" ref="AD497:AD502">U497*Y497</f>
        <v>95213224260</v>
      </c>
      <c r="AE497" s="190"/>
      <c r="AF497" s="190"/>
      <c r="AG497" s="190"/>
      <c r="AH497" s="190"/>
      <c r="AI497" s="191"/>
      <c r="AJ497" s="189">
        <f>C497*K497*POWER(N497,3)/12</f>
        <v>2037420</v>
      </c>
      <c r="AK497" s="190"/>
      <c r="AL497" s="190"/>
      <c r="AM497" s="190"/>
      <c r="AN497" s="190"/>
      <c r="AO497" s="191"/>
      <c r="AU497" s="11"/>
      <c r="AV497" s="11"/>
      <c r="AW497" s="11"/>
      <c r="AX497" s="11"/>
      <c r="AY497" s="11"/>
      <c r="AZ497" s="11"/>
      <c r="BA497" s="11"/>
      <c r="BB497" s="11"/>
    </row>
    <row r="498" spans="3:54" ht="18" customHeight="1">
      <c r="C498" s="101">
        <v>5</v>
      </c>
      <c r="D498" s="180" t="s">
        <v>72</v>
      </c>
      <c r="E498" s="180" t="s">
        <v>74</v>
      </c>
      <c r="F498" s="180"/>
      <c r="G498" s="180"/>
      <c r="H498" s="180"/>
      <c r="I498" s="180"/>
      <c r="J498" s="181"/>
      <c r="K498" s="186">
        <f>AJ484</f>
        <v>14</v>
      </c>
      <c r="L498" s="187"/>
      <c r="M498" s="188"/>
      <c r="N498" s="186">
        <f>AG484</f>
        <v>150</v>
      </c>
      <c r="O498" s="187"/>
      <c r="P498" s="188"/>
      <c r="Q498" s="189">
        <f t="shared" si="12"/>
        <v>10500</v>
      </c>
      <c r="R498" s="190"/>
      <c r="S498" s="190"/>
      <c r="T498" s="191"/>
      <c r="U498" s="192">
        <f>-(AG472*1000-N498)/2</f>
        <v>-1225</v>
      </c>
      <c r="V498" s="193"/>
      <c r="W498" s="193"/>
      <c r="X498" s="194"/>
      <c r="Y498" s="189">
        <f t="shared" si="13"/>
        <v>-12862500</v>
      </c>
      <c r="Z498" s="190"/>
      <c r="AA498" s="190"/>
      <c r="AB498" s="190"/>
      <c r="AC498" s="191"/>
      <c r="AD498" s="189">
        <f t="shared" si="14"/>
        <v>15756562500</v>
      </c>
      <c r="AE498" s="190"/>
      <c r="AF498" s="190"/>
      <c r="AG498" s="190"/>
      <c r="AH498" s="190"/>
      <c r="AI498" s="191"/>
      <c r="AJ498" s="189">
        <f>C498*K498*POWER(N498,3)/12</f>
        <v>19687500</v>
      </c>
      <c r="AK498" s="190"/>
      <c r="AL498" s="190"/>
      <c r="AM498" s="190"/>
      <c r="AN498" s="190"/>
      <c r="AO498" s="191"/>
      <c r="AU498" s="11"/>
      <c r="AV498" s="11"/>
      <c r="AW498" s="11"/>
      <c r="AX498" s="11"/>
      <c r="AY498" s="11"/>
      <c r="AZ498" s="11"/>
      <c r="BA498" s="11"/>
      <c r="BB498" s="11"/>
    </row>
    <row r="499" spans="3:54" ht="18" customHeight="1">
      <c r="C499" s="195">
        <v>1</v>
      </c>
      <c r="D499" s="196" t="s">
        <v>72</v>
      </c>
      <c r="E499" s="196" t="s">
        <v>139</v>
      </c>
      <c r="F499" s="196"/>
      <c r="G499" s="196"/>
      <c r="H499" s="196"/>
      <c r="I499" s="196"/>
      <c r="J499" s="197"/>
      <c r="K499" s="192">
        <f>AG481*1000</f>
        <v>10</v>
      </c>
      <c r="L499" s="182"/>
      <c r="M499" s="184"/>
      <c r="N499" s="192">
        <f>AG472/COS(RADIANS(F479))*1000</f>
        <v>2604.3233286210834</v>
      </c>
      <c r="O499" s="182"/>
      <c r="P499" s="184"/>
      <c r="Q499" s="198">
        <f t="shared" si="12"/>
        <v>26043.233286210834</v>
      </c>
      <c r="R499" s="199"/>
      <c r="S499" s="199"/>
      <c r="T499" s="200"/>
      <c r="U499" s="192">
        <v>0</v>
      </c>
      <c r="V499" s="193"/>
      <c r="W499" s="193"/>
      <c r="X499" s="194"/>
      <c r="Y499" s="201">
        <f t="shared" si="13"/>
        <v>0</v>
      </c>
      <c r="Z499" s="202"/>
      <c r="AA499" s="202"/>
      <c r="AB499" s="202"/>
      <c r="AC499" s="203"/>
      <c r="AD499" s="201">
        <f t="shared" si="14"/>
        <v>0</v>
      </c>
      <c r="AE499" s="202"/>
      <c r="AF499" s="202"/>
      <c r="AG499" s="202"/>
      <c r="AH499" s="202"/>
      <c r="AI499" s="203"/>
      <c r="AJ499" s="201">
        <f>C500*K500*N500/12*((N500*COS(RADIANS(F479)))^2+(K500*SIN(RADIANS(F479)))^2)</f>
        <v>14671022137.85546</v>
      </c>
      <c r="AK499" s="202"/>
      <c r="AL499" s="202"/>
      <c r="AM499" s="202"/>
      <c r="AN499" s="202"/>
      <c r="AO499" s="203"/>
      <c r="AU499" s="11"/>
      <c r="AV499" s="11"/>
      <c r="AW499" s="11"/>
      <c r="AX499" s="11"/>
      <c r="AY499" s="11"/>
      <c r="AZ499" s="11"/>
      <c r="BA499" s="11"/>
      <c r="BB499" s="11"/>
    </row>
    <row r="500" spans="3:54" ht="18" customHeight="1">
      <c r="C500" s="195">
        <v>1</v>
      </c>
      <c r="D500" s="196" t="s">
        <v>72</v>
      </c>
      <c r="E500" s="196" t="s">
        <v>140</v>
      </c>
      <c r="F500" s="196"/>
      <c r="G500" s="196"/>
      <c r="H500" s="196"/>
      <c r="I500" s="196"/>
      <c r="J500" s="197"/>
      <c r="K500" s="192">
        <f>AG481*1000</f>
        <v>10</v>
      </c>
      <c r="L500" s="182"/>
      <c r="M500" s="184"/>
      <c r="N500" s="192">
        <f>AG472/COS(RADIANS(X479))*1000</f>
        <v>2604.3233286210834</v>
      </c>
      <c r="O500" s="182"/>
      <c r="P500" s="184"/>
      <c r="Q500" s="198">
        <f t="shared" si="12"/>
        <v>26043.233286210834</v>
      </c>
      <c r="R500" s="199"/>
      <c r="S500" s="199"/>
      <c r="T500" s="200"/>
      <c r="U500" s="192">
        <v>0</v>
      </c>
      <c r="V500" s="193"/>
      <c r="W500" s="193"/>
      <c r="X500" s="194"/>
      <c r="Y500" s="201">
        <f t="shared" si="13"/>
        <v>0</v>
      </c>
      <c r="Z500" s="202"/>
      <c r="AA500" s="202"/>
      <c r="AB500" s="202"/>
      <c r="AC500" s="203"/>
      <c r="AD500" s="201">
        <f t="shared" si="14"/>
        <v>0</v>
      </c>
      <c r="AE500" s="202"/>
      <c r="AF500" s="202"/>
      <c r="AG500" s="202"/>
      <c r="AH500" s="202"/>
      <c r="AI500" s="203"/>
      <c r="AJ500" s="201">
        <f>C500*K500*N500/12*((N500*COS(RADIANS(X479)))^2+(K500*SIN(RADIANS(X479)))^2)</f>
        <v>14671022137.85546</v>
      </c>
      <c r="AK500" s="202"/>
      <c r="AL500" s="202"/>
      <c r="AM500" s="202"/>
      <c r="AN500" s="202"/>
      <c r="AO500" s="203"/>
      <c r="AU500" s="11"/>
      <c r="AV500" s="11"/>
      <c r="AW500" s="11"/>
      <c r="AX500" s="11"/>
      <c r="AY500" s="11"/>
      <c r="AZ500" s="11"/>
      <c r="BA500" s="11"/>
      <c r="BB500" s="11"/>
    </row>
    <row r="501" spans="3:41" ht="18" customHeight="1">
      <c r="C501" s="101">
        <v>2</v>
      </c>
      <c r="D501" s="180" t="s">
        <v>72</v>
      </c>
      <c r="E501" s="180" t="s">
        <v>75</v>
      </c>
      <c r="F501" s="180"/>
      <c r="G501" s="180"/>
      <c r="H501" s="180"/>
      <c r="I501" s="180"/>
      <c r="J501" s="181"/>
      <c r="K501" s="186">
        <f>AQ484</f>
        <v>14</v>
      </c>
      <c r="L501" s="187"/>
      <c r="M501" s="188"/>
      <c r="N501" s="186">
        <f>AN484</f>
        <v>150</v>
      </c>
      <c r="O501" s="187"/>
      <c r="P501" s="188"/>
      <c r="Q501" s="189">
        <f t="shared" si="12"/>
        <v>4200</v>
      </c>
      <c r="R501" s="190"/>
      <c r="S501" s="190"/>
      <c r="T501" s="191"/>
      <c r="U501" s="192">
        <f>(AG472*1000-N501)/2</f>
        <v>1225</v>
      </c>
      <c r="V501" s="193"/>
      <c r="W501" s="193"/>
      <c r="X501" s="194"/>
      <c r="Y501" s="189">
        <f t="shared" si="13"/>
        <v>5145000</v>
      </c>
      <c r="Z501" s="190"/>
      <c r="AA501" s="190"/>
      <c r="AB501" s="190"/>
      <c r="AC501" s="191"/>
      <c r="AD501" s="189">
        <f t="shared" si="14"/>
        <v>6302625000</v>
      </c>
      <c r="AE501" s="190"/>
      <c r="AF501" s="190"/>
      <c r="AG501" s="190"/>
      <c r="AH501" s="190"/>
      <c r="AI501" s="191"/>
      <c r="AJ501" s="189">
        <f>C501*K501*POWER(N501,3)/12</f>
        <v>7875000</v>
      </c>
      <c r="AK501" s="190"/>
      <c r="AL501" s="190"/>
      <c r="AM501" s="190"/>
      <c r="AN501" s="190"/>
      <c r="AO501" s="191"/>
    </row>
    <row r="502" spans="3:41" ht="18" customHeight="1">
      <c r="C502" s="185">
        <v>1</v>
      </c>
      <c r="D502" s="180" t="s">
        <v>72</v>
      </c>
      <c r="E502" s="180" t="s">
        <v>76</v>
      </c>
      <c r="F502" s="180"/>
      <c r="G502" s="180"/>
      <c r="H502" s="180"/>
      <c r="I502" s="180"/>
      <c r="J502" s="181"/>
      <c r="K502" s="186">
        <f>AM478*1000</f>
        <v>2340</v>
      </c>
      <c r="L502" s="187"/>
      <c r="M502" s="188"/>
      <c r="N502" s="186">
        <f>AG480*1000</f>
        <v>21</v>
      </c>
      <c r="O502" s="187"/>
      <c r="P502" s="188"/>
      <c r="Q502" s="189">
        <f t="shared" si="12"/>
        <v>49140</v>
      </c>
      <c r="R502" s="190"/>
      <c r="S502" s="190"/>
      <c r="T502" s="191"/>
      <c r="U502" s="192">
        <f>(N502+AG472*1000)/2</f>
        <v>1310.5</v>
      </c>
      <c r="V502" s="193"/>
      <c r="W502" s="193"/>
      <c r="X502" s="194"/>
      <c r="Y502" s="189">
        <f t="shared" si="13"/>
        <v>64397970</v>
      </c>
      <c r="Z502" s="190"/>
      <c r="AA502" s="190"/>
      <c r="AB502" s="190"/>
      <c r="AC502" s="191"/>
      <c r="AD502" s="189">
        <f t="shared" si="14"/>
        <v>84393539685</v>
      </c>
      <c r="AE502" s="190"/>
      <c r="AF502" s="190"/>
      <c r="AG502" s="190"/>
      <c r="AH502" s="190"/>
      <c r="AI502" s="191"/>
      <c r="AJ502" s="189">
        <f>C502*K502*POWER(N502,3)/12</f>
        <v>1805895</v>
      </c>
      <c r="AK502" s="190"/>
      <c r="AL502" s="190"/>
      <c r="AM502" s="190"/>
      <c r="AN502" s="190"/>
      <c r="AO502" s="191"/>
    </row>
    <row r="503" spans="3:41" ht="18" customHeight="1">
      <c r="C503" s="204" t="s">
        <v>141</v>
      </c>
      <c r="D503" s="187"/>
      <c r="E503" s="187"/>
      <c r="F503" s="187"/>
      <c r="G503" s="187"/>
      <c r="H503" s="187"/>
      <c r="I503" s="187"/>
      <c r="J503" s="188"/>
      <c r="K503" s="179"/>
      <c r="L503" s="180"/>
      <c r="M503" s="181"/>
      <c r="N503" s="179"/>
      <c r="O503" s="180"/>
      <c r="P503" s="181"/>
      <c r="Q503" s="205">
        <f>SUM(Q497:Q502)</f>
        <v>171366.46657242166</v>
      </c>
      <c r="R503" s="206"/>
      <c r="S503" s="206"/>
      <c r="T503" s="207"/>
      <c r="U503" s="208"/>
      <c r="V503" s="209"/>
      <c r="W503" s="209"/>
      <c r="X503" s="210"/>
      <c r="Y503" s="189">
        <f>SUM(Y497:Y502)</f>
        <v>-15973650</v>
      </c>
      <c r="Z503" s="190"/>
      <c r="AA503" s="190"/>
      <c r="AB503" s="190"/>
      <c r="AC503" s="191"/>
      <c r="AD503" s="189">
        <f>SUM(AD497:AD502)</f>
        <v>201665951445</v>
      </c>
      <c r="AE503" s="190"/>
      <c r="AF503" s="190"/>
      <c r="AG503" s="190"/>
      <c r="AH503" s="190"/>
      <c r="AI503" s="191"/>
      <c r="AJ503" s="189">
        <f>SUM(AJ497:AJ502)</f>
        <v>29373450090.71092</v>
      </c>
      <c r="AK503" s="190"/>
      <c r="AL503" s="190"/>
      <c r="AM503" s="190"/>
      <c r="AN503" s="190"/>
      <c r="AO503" s="191"/>
    </row>
    <row r="504" spans="7:20" ht="18" customHeight="1">
      <c r="G504" s="211"/>
      <c r="H504" s="211"/>
      <c r="I504" s="211"/>
      <c r="J504" s="211"/>
      <c r="K504" s="11"/>
      <c r="P504" s="212"/>
      <c r="Q504" s="212"/>
      <c r="R504" s="212"/>
      <c r="S504" s="212"/>
      <c r="T504" s="11"/>
    </row>
    <row r="505" spans="7:20" ht="18" customHeight="1">
      <c r="G505" s="211"/>
      <c r="H505" s="211"/>
      <c r="I505" s="211"/>
      <c r="J505" s="211"/>
      <c r="K505" s="11"/>
      <c r="P505" s="212"/>
      <c r="Q505" s="212"/>
      <c r="R505" s="212"/>
      <c r="S505" s="212"/>
      <c r="T505" s="11"/>
    </row>
    <row r="506" ht="18" customHeight="1">
      <c r="A506" s="213" t="s">
        <v>143</v>
      </c>
    </row>
    <row r="517" ht="18" customHeight="1">
      <c r="B517" s="162" t="s">
        <v>144</v>
      </c>
    </row>
    <row r="518" spans="3:32" ht="18" customHeight="1">
      <c r="C518" s="162" t="s">
        <v>77</v>
      </c>
      <c r="L518" s="214">
        <f>AD503</f>
        <v>201665951445</v>
      </c>
      <c r="M518" s="214"/>
      <c r="N518" s="214"/>
      <c r="O518" s="214"/>
      <c r="P518" s="214"/>
      <c r="Q518" s="162" t="s">
        <v>78</v>
      </c>
      <c r="R518" s="215">
        <f>AJ503</f>
        <v>29373450090.71092</v>
      </c>
      <c r="S518" s="215"/>
      <c r="T518" s="215"/>
      <c r="U518" s="215"/>
      <c r="V518" s="215"/>
      <c r="W518" s="215"/>
      <c r="X518" s="215"/>
      <c r="Y518" s="162" t="s">
        <v>79</v>
      </c>
      <c r="Z518" s="214">
        <f>L518+R518</f>
        <v>231039401535.7109</v>
      </c>
      <c r="AA518" s="214"/>
      <c r="AB518" s="214"/>
      <c r="AC518" s="214"/>
      <c r="AD518" s="214"/>
      <c r="AE518" s="214"/>
      <c r="AF518" s="9" t="s">
        <v>31</v>
      </c>
    </row>
    <row r="519" spans="2:46" ht="18" customHeight="1">
      <c r="B519" s="11"/>
      <c r="C519" s="11" t="s">
        <v>80</v>
      </c>
      <c r="D519" s="11"/>
      <c r="E519" s="11"/>
      <c r="F519" s="11"/>
      <c r="G519" s="11"/>
      <c r="H519" s="11"/>
      <c r="I519" s="11"/>
      <c r="J519" s="11"/>
      <c r="K519" s="11"/>
      <c r="L519" s="216">
        <f>Y503</f>
        <v>-15973650</v>
      </c>
      <c r="M519" s="216"/>
      <c r="N519" s="216"/>
      <c r="O519" s="216"/>
      <c r="P519" s="216"/>
      <c r="Q519" s="11" t="s">
        <v>81</v>
      </c>
      <c r="R519" s="216">
        <f>Q503</f>
        <v>171366.46657242166</v>
      </c>
      <c r="S519" s="216"/>
      <c r="T519" s="216"/>
      <c r="U519" s="216"/>
      <c r="V519" s="216"/>
      <c r="W519" s="11" t="s">
        <v>79</v>
      </c>
      <c r="X519" s="217">
        <f>L519/R519</f>
        <v>-93.21339419255243</v>
      </c>
      <c r="Y519" s="217"/>
      <c r="Z519" s="217"/>
      <c r="AA519" s="217"/>
      <c r="AB519" s="217"/>
      <c r="AC519" s="217"/>
      <c r="AD519" s="10" t="s">
        <v>145</v>
      </c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</row>
    <row r="520" spans="2:46" ht="18" customHeight="1">
      <c r="B520" s="11"/>
      <c r="C520" s="11" t="s">
        <v>82</v>
      </c>
      <c r="D520" s="11"/>
      <c r="E520" s="11"/>
      <c r="F520" s="11"/>
      <c r="G520" s="11"/>
      <c r="H520" s="11"/>
      <c r="I520" s="11"/>
      <c r="J520" s="11"/>
      <c r="K520" s="11"/>
      <c r="L520" s="216">
        <f>Z518</f>
        <v>231039401535.7109</v>
      </c>
      <c r="M520" s="216"/>
      <c r="N520" s="216"/>
      <c r="O520" s="216"/>
      <c r="P520" s="216"/>
      <c r="Q520" s="11" t="s">
        <v>72</v>
      </c>
      <c r="R520" s="216">
        <f>Q503</f>
        <v>171366.46657242166</v>
      </c>
      <c r="S520" s="216"/>
      <c r="T520" s="216"/>
      <c r="U520" s="216"/>
      <c r="V520" s="216"/>
      <c r="W520" s="11" t="s">
        <v>83</v>
      </c>
      <c r="X520" s="218">
        <f>X519</f>
        <v>-93.21339419255243</v>
      </c>
      <c r="Y520" s="51"/>
      <c r="Z520" s="51"/>
      <c r="AA520" s="51"/>
      <c r="AB520" s="51"/>
      <c r="AC520" s="11" t="s">
        <v>79</v>
      </c>
      <c r="AD520" s="216">
        <f>L520-R520*X520^2</f>
        <v>229550443401.56705</v>
      </c>
      <c r="AE520" s="216"/>
      <c r="AF520" s="216"/>
      <c r="AG520" s="216"/>
      <c r="AH520" s="216"/>
      <c r="AI520" s="216"/>
      <c r="AJ520" s="9" t="s">
        <v>31</v>
      </c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</row>
    <row r="521" spans="2:46" ht="18" customHeight="1">
      <c r="B521" s="11"/>
      <c r="C521" s="11" t="s">
        <v>146</v>
      </c>
      <c r="D521" s="11"/>
      <c r="E521" s="11"/>
      <c r="F521" s="11"/>
      <c r="G521" s="11"/>
      <c r="H521" s="11"/>
      <c r="I521" s="11"/>
      <c r="J521" s="11"/>
      <c r="K521" s="11"/>
      <c r="L521" s="11"/>
      <c r="M521" s="219">
        <f>-AG472*1000</f>
        <v>-2600</v>
      </c>
      <c r="N521" s="51"/>
      <c r="O521" s="51"/>
      <c r="P521" s="51"/>
      <c r="Q521" s="11" t="s">
        <v>84</v>
      </c>
      <c r="R521" s="11"/>
      <c r="S521" s="11"/>
      <c r="T521" s="11" t="s">
        <v>147</v>
      </c>
      <c r="U521" s="219">
        <f>N497</f>
        <v>21</v>
      </c>
      <c r="V521" s="51"/>
      <c r="W521" s="11" t="s">
        <v>72</v>
      </c>
      <c r="X521" s="51">
        <f>X520</f>
        <v>-93.21339419255243</v>
      </c>
      <c r="Y521" s="51"/>
      <c r="Z521" s="51"/>
      <c r="AA521" s="51"/>
      <c r="AB521" s="51"/>
      <c r="AC521" s="11" t="s">
        <v>79</v>
      </c>
      <c r="AD521" s="51">
        <f>M521/2-U521-X521</f>
        <v>-1227.7866058074476</v>
      </c>
      <c r="AE521" s="51"/>
      <c r="AF521" s="51"/>
      <c r="AG521" s="51"/>
      <c r="AH521" s="51"/>
      <c r="AI521" s="51"/>
      <c r="AJ521" s="10" t="s">
        <v>145</v>
      </c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</row>
    <row r="522" spans="1:46" ht="18" customHeight="1">
      <c r="A522" s="11"/>
      <c r="B522" s="11"/>
      <c r="C522" s="11" t="s">
        <v>148</v>
      </c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51">
        <f>AD521</f>
        <v>-1227.7866058074476</v>
      </c>
      <c r="Q522" s="51"/>
      <c r="R522" s="51"/>
      <c r="S522" s="51"/>
      <c r="T522" s="51"/>
      <c r="U522" s="11" t="s">
        <v>149</v>
      </c>
      <c r="V522" s="51">
        <f>(AG472+AG479+AG480)*1000</f>
        <v>2642</v>
      </c>
      <c r="W522" s="51"/>
      <c r="X522" s="51"/>
      <c r="Y522" s="51"/>
      <c r="Z522" s="11" t="s">
        <v>79</v>
      </c>
      <c r="AA522" s="51">
        <f>P522+V522</f>
        <v>1414.2133941925524</v>
      </c>
      <c r="AB522" s="51"/>
      <c r="AC522" s="51"/>
      <c r="AD522" s="51"/>
      <c r="AE522" s="51"/>
      <c r="AF522" s="10" t="s">
        <v>145</v>
      </c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</row>
    <row r="523" spans="1:46" ht="18" customHeight="1">
      <c r="A523" s="11"/>
      <c r="B523" s="11"/>
      <c r="C523" s="11" t="s">
        <v>150</v>
      </c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 t="s">
        <v>151</v>
      </c>
      <c r="AB523" s="219">
        <f>((AG473+AM473+AG474)/2+AG481)*(AG472+AG479/2+AG480/2)*1000000</f>
        <v>5923459.999999999</v>
      </c>
      <c r="AC523" s="219"/>
      <c r="AD523" s="219"/>
      <c r="AE523" s="219"/>
      <c r="AF523" s="219"/>
      <c r="AG523" s="11" t="s">
        <v>142</v>
      </c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</row>
    <row r="524" spans="1:46" ht="18" customHeight="1">
      <c r="A524" s="11"/>
      <c r="B524" s="11"/>
      <c r="C524" s="11" t="s">
        <v>55</v>
      </c>
      <c r="D524" s="11"/>
      <c r="E524" s="11"/>
      <c r="F524" s="11"/>
      <c r="G524" s="11"/>
      <c r="H524" s="11"/>
      <c r="I524" s="11"/>
      <c r="J524" s="11"/>
      <c r="K524" s="11"/>
      <c r="L524" s="11"/>
      <c r="M524" s="51">
        <f>AG488*1000000*P522/AD520</f>
        <v>-20.959327888988547</v>
      </c>
      <c r="N524" s="51"/>
      <c r="O524" s="51"/>
      <c r="P524" s="51"/>
      <c r="Q524" s="51"/>
      <c r="R524" s="11" t="s">
        <v>28</v>
      </c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</row>
    <row r="525" spans="1:46" ht="18" customHeight="1">
      <c r="A525" s="11"/>
      <c r="B525" s="11"/>
      <c r="C525" s="11" t="s">
        <v>56</v>
      </c>
      <c r="D525" s="11"/>
      <c r="E525" s="11"/>
      <c r="F525" s="11"/>
      <c r="G525" s="11"/>
      <c r="H525" s="11"/>
      <c r="I525" s="11"/>
      <c r="J525" s="11"/>
      <c r="K525" s="11"/>
      <c r="L525" s="11"/>
      <c r="M525" s="51">
        <f>AG488*1000000*AA522/AD520</f>
        <v>24.141786605000377</v>
      </c>
      <c r="N525" s="51"/>
      <c r="O525" s="51"/>
      <c r="P525" s="51"/>
      <c r="Q525" s="51"/>
      <c r="R525" s="11" t="s">
        <v>28</v>
      </c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</row>
    <row r="526" spans="1:45" ht="18" customHeight="1">
      <c r="A526" s="11"/>
      <c r="B526" s="11"/>
      <c r="C526" s="11" t="s">
        <v>57</v>
      </c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51">
        <f>ABS(AG490)*1000/(Q499+Q500)+ABS(AG492)*1000000/(2*AB523*AG481*1000)</f>
        <v>7.791888292082711</v>
      </c>
      <c r="T526" s="51"/>
      <c r="U526" s="51"/>
      <c r="V526" s="51"/>
      <c r="W526" s="51"/>
      <c r="X526" s="11" t="s">
        <v>28</v>
      </c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</row>
    <row r="527" spans="1:45" ht="18" customHeight="1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</row>
    <row r="528" spans="1:45" ht="18" customHeight="1">
      <c r="A528" s="11"/>
      <c r="B528" s="11" t="s">
        <v>58</v>
      </c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</row>
    <row r="529" spans="1:45" ht="18" customHeight="1">
      <c r="A529" s="11"/>
      <c r="B529" s="11"/>
      <c r="C529" s="11" t="s">
        <v>105</v>
      </c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51">
        <f>AG489*1000000/AD520*AD521</f>
        <v>-19.648826672941414</v>
      </c>
      <c r="O529" s="51"/>
      <c r="P529" s="51"/>
      <c r="Q529" s="51"/>
      <c r="R529" s="51"/>
      <c r="S529" s="11" t="s">
        <v>28</v>
      </c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</row>
    <row r="530" spans="1:45" ht="18" customHeight="1">
      <c r="A530" s="11"/>
      <c r="B530" s="11"/>
      <c r="C530" s="11" t="s">
        <v>106</v>
      </c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51">
        <f>AG489*1000000/AD520*AA522</f>
        <v>22.632299236370347</v>
      </c>
      <c r="O530" s="51"/>
      <c r="P530" s="51"/>
      <c r="Q530" s="51"/>
      <c r="R530" s="51"/>
      <c r="S530" s="11" t="s">
        <v>28</v>
      </c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</row>
    <row r="531" spans="1:45" ht="18" customHeight="1">
      <c r="A531" s="11"/>
      <c r="B531" s="11"/>
      <c r="C531" s="11" t="s">
        <v>107</v>
      </c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51">
        <f>ABS(AG491)*1000/(Q499+Q500)+ABS(AG493)*100000/(2*AB523*AG481*100)</f>
        <v>7.97314206552384</v>
      </c>
      <c r="T531" s="51"/>
      <c r="U531" s="51"/>
      <c r="V531" s="51"/>
      <c r="W531" s="51"/>
      <c r="X531" s="11" t="s">
        <v>28</v>
      </c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</row>
    <row r="532" spans="1:45" ht="18" customHeight="1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</row>
    <row r="533" spans="1:54" ht="18" customHeight="1">
      <c r="A533" s="11"/>
      <c r="B533" s="11" t="s">
        <v>59</v>
      </c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U533" s="12" t="s">
        <v>32</v>
      </c>
      <c r="AV533" s="12"/>
      <c r="AW533" s="12"/>
      <c r="AX533" s="12"/>
      <c r="AY533" s="12"/>
      <c r="AZ533" s="12"/>
      <c r="BA533" s="12"/>
      <c r="BB533" s="12"/>
    </row>
    <row r="534" spans="1:88" ht="18" customHeight="1">
      <c r="A534" s="11"/>
      <c r="B534" s="11"/>
      <c r="C534" s="11" t="s">
        <v>108</v>
      </c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51">
        <f>ABS((AG490+AG491)*1000/(Q499+Q500))+ABS((AG492+AG493)/(2*AB523*AG481*1000))*1000000</f>
        <v>15.765030357606552</v>
      </c>
      <c r="AA534" s="51"/>
      <c r="AB534" s="51"/>
      <c r="AC534" s="51"/>
      <c r="AD534" s="11" t="s">
        <v>28</v>
      </c>
      <c r="AE534" s="11"/>
      <c r="AF534" s="11" t="s">
        <v>86</v>
      </c>
      <c r="AG534" s="11" t="s">
        <v>87</v>
      </c>
      <c r="AH534" s="11"/>
      <c r="AI534" s="11"/>
      <c r="AJ534" s="220">
        <f>HLOOKUP(AG470,AX534:CJ537,AU534,FALSE)</f>
        <v>120</v>
      </c>
      <c r="AK534" s="51"/>
      <c r="AL534" s="51"/>
      <c r="AM534" s="11" t="s">
        <v>28</v>
      </c>
      <c r="AN534" s="11"/>
      <c r="AO534" s="11"/>
      <c r="AP534" s="11" t="str">
        <f>IF(Z534&lt;AJ534,"O.K.","N.G.")</f>
        <v>O.K.</v>
      </c>
      <c r="AQ534" s="11"/>
      <c r="AR534" s="11"/>
      <c r="AS534" s="11"/>
      <c r="AU534" s="221">
        <f>IF(AG481&lt;=0.04,2,IF(AG481&lt;=0.075,3,4))</f>
        <v>2</v>
      </c>
      <c r="AV534" s="222"/>
      <c r="AW534" s="223"/>
      <c r="AX534" s="43" t="s">
        <v>4</v>
      </c>
      <c r="AY534" s="44"/>
      <c r="AZ534" s="45"/>
      <c r="BA534" s="43" t="s">
        <v>5</v>
      </c>
      <c r="BB534" s="44"/>
      <c r="BC534" s="45"/>
      <c r="BD534" s="43" t="s">
        <v>6</v>
      </c>
      <c r="BE534" s="44"/>
      <c r="BF534" s="45"/>
      <c r="BG534" s="43" t="s">
        <v>7</v>
      </c>
      <c r="BH534" s="44"/>
      <c r="BI534" s="45"/>
      <c r="BJ534" s="43" t="s">
        <v>88</v>
      </c>
      <c r="BK534" s="44"/>
      <c r="BL534" s="45"/>
      <c r="BM534" s="224" t="s">
        <v>8</v>
      </c>
      <c r="BN534" s="225"/>
      <c r="BO534" s="226"/>
      <c r="BP534" s="43" t="s">
        <v>9</v>
      </c>
      <c r="BQ534" s="44"/>
      <c r="BR534" s="45"/>
      <c r="BS534" s="43" t="s">
        <v>10</v>
      </c>
      <c r="BT534" s="44"/>
      <c r="BU534" s="45"/>
      <c r="BV534" s="43" t="s">
        <v>11</v>
      </c>
      <c r="BW534" s="44"/>
      <c r="BX534" s="45"/>
      <c r="BY534" s="224" t="s">
        <v>12</v>
      </c>
      <c r="BZ534" s="225"/>
      <c r="CA534" s="226"/>
      <c r="CB534" s="43" t="s">
        <v>13</v>
      </c>
      <c r="CC534" s="44"/>
      <c r="CD534" s="45"/>
      <c r="CE534" s="43" t="s">
        <v>14</v>
      </c>
      <c r="CF534" s="44"/>
      <c r="CG534" s="45"/>
      <c r="CH534" s="224" t="s">
        <v>15</v>
      </c>
      <c r="CI534" s="225"/>
      <c r="CJ534" s="226"/>
    </row>
    <row r="535" spans="1:88" ht="18" customHeight="1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U535" s="36">
        <v>40</v>
      </c>
      <c r="AV535" s="37"/>
      <c r="AW535" s="38"/>
      <c r="AX535" s="36">
        <v>80</v>
      </c>
      <c r="AY535" s="37"/>
      <c r="AZ535" s="38"/>
      <c r="BA535" s="36">
        <f>AX535</f>
        <v>80</v>
      </c>
      <c r="BB535" s="37"/>
      <c r="BC535" s="38"/>
      <c r="BD535" s="36">
        <f>AX535</f>
        <v>80</v>
      </c>
      <c r="BE535" s="37"/>
      <c r="BF535" s="38"/>
      <c r="BG535" s="36">
        <v>80</v>
      </c>
      <c r="BH535" s="37"/>
      <c r="BI535" s="38"/>
      <c r="BJ535" s="36">
        <v>105</v>
      </c>
      <c r="BK535" s="37"/>
      <c r="BL535" s="38"/>
      <c r="BM535" s="36">
        <v>105</v>
      </c>
      <c r="BN535" s="37"/>
      <c r="BO535" s="38"/>
      <c r="BP535" s="36">
        <v>120</v>
      </c>
      <c r="BQ535" s="37"/>
      <c r="BR535" s="38"/>
      <c r="BS535" s="36">
        <f>BP535</f>
        <v>120</v>
      </c>
      <c r="BT535" s="37"/>
      <c r="BU535" s="38"/>
      <c r="BV535" s="36">
        <f>BP535</f>
        <v>120</v>
      </c>
      <c r="BW535" s="37"/>
      <c r="BX535" s="38"/>
      <c r="BY535" s="36">
        <v>120</v>
      </c>
      <c r="BZ535" s="37"/>
      <c r="CA535" s="38"/>
      <c r="CB535" s="36">
        <v>145</v>
      </c>
      <c r="CC535" s="37"/>
      <c r="CD535" s="38"/>
      <c r="CE535" s="36">
        <f>CB535</f>
        <v>145</v>
      </c>
      <c r="CF535" s="37"/>
      <c r="CG535" s="38"/>
      <c r="CH535" s="36">
        <v>145</v>
      </c>
      <c r="CI535" s="37"/>
      <c r="CJ535" s="38"/>
    </row>
    <row r="536" spans="1:88" ht="18" customHeight="1">
      <c r="A536" s="11"/>
      <c r="B536" s="11" t="s">
        <v>60</v>
      </c>
      <c r="C536" s="11"/>
      <c r="D536" s="11"/>
      <c r="E536" s="11"/>
      <c r="F536" s="11"/>
      <c r="G536" s="11"/>
      <c r="H536" s="11"/>
      <c r="I536" s="11"/>
      <c r="J536" s="11"/>
      <c r="K536" s="227"/>
      <c r="L536" s="11"/>
      <c r="M536" s="11"/>
      <c r="N536" s="11"/>
      <c r="O536" s="11"/>
      <c r="P536" s="11"/>
      <c r="Q536" s="11"/>
      <c r="R536" s="11"/>
      <c r="S536" s="11"/>
      <c r="T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U536" s="228" t="s">
        <v>16</v>
      </c>
      <c r="AV536" s="229"/>
      <c r="AW536" s="230"/>
      <c r="AX536" s="36">
        <v>75</v>
      </c>
      <c r="AY536" s="37"/>
      <c r="AZ536" s="38"/>
      <c r="BA536" s="36">
        <f>AX536</f>
        <v>75</v>
      </c>
      <c r="BB536" s="37"/>
      <c r="BC536" s="38"/>
      <c r="BD536" s="36">
        <f>AX536</f>
        <v>75</v>
      </c>
      <c r="BE536" s="37"/>
      <c r="BF536" s="38"/>
      <c r="BG536" s="36">
        <v>80</v>
      </c>
      <c r="BH536" s="37"/>
      <c r="BI536" s="38"/>
      <c r="BJ536" s="36">
        <v>100</v>
      </c>
      <c r="BK536" s="37"/>
      <c r="BL536" s="38"/>
      <c r="BM536" s="36">
        <v>105</v>
      </c>
      <c r="BN536" s="37"/>
      <c r="BO536" s="38"/>
      <c r="BP536" s="36">
        <v>115</v>
      </c>
      <c r="BQ536" s="37"/>
      <c r="BR536" s="38"/>
      <c r="BS536" s="36">
        <f>BP536</f>
        <v>115</v>
      </c>
      <c r="BT536" s="37"/>
      <c r="BU536" s="38"/>
      <c r="BV536" s="36">
        <f>BP536</f>
        <v>115</v>
      </c>
      <c r="BW536" s="37"/>
      <c r="BX536" s="38"/>
      <c r="BY536" s="36">
        <v>120</v>
      </c>
      <c r="BZ536" s="37"/>
      <c r="CA536" s="38"/>
      <c r="CB536" s="36">
        <v>140</v>
      </c>
      <c r="CC536" s="37"/>
      <c r="CD536" s="38"/>
      <c r="CE536" s="36">
        <f>CB536</f>
        <v>140</v>
      </c>
      <c r="CF536" s="37"/>
      <c r="CG536" s="38"/>
      <c r="CH536" s="36">
        <v>145</v>
      </c>
      <c r="CI536" s="37"/>
      <c r="CJ536" s="38"/>
    </row>
    <row r="537" spans="1:88" ht="18" customHeight="1">
      <c r="A537" s="11"/>
      <c r="B537" s="11"/>
      <c r="C537" s="11" t="s">
        <v>297</v>
      </c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U537" s="228" t="s">
        <v>17</v>
      </c>
      <c r="AV537" s="229"/>
      <c r="AW537" s="230"/>
      <c r="AX537" s="36">
        <v>75</v>
      </c>
      <c r="AY537" s="37"/>
      <c r="AZ537" s="38"/>
      <c r="BA537" s="36">
        <f>AX537</f>
        <v>75</v>
      </c>
      <c r="BB537" s="37"/>
      <c r="BC537" s="38"/>
      <c r="BD537" s="36">
        <f>AX537</f>
        <v>75</v>
      </c>
      <c r="BE537" s="37"/>
      <c r="BF537" s="38"/>
      <c r="BG537" s="36">
        <v>80</v>
      </c>
      <c r="BH537" s="37"/>
      <c r="BI537" s="38"/>
      <c r="BJ537" s="36">
        <v>100</v>
      </c>
      <c r="BK537" s="37"/>
      <c r="BL537" s="38"/>
      <c r="BM537" s="36">
        <v>105</v>
      </c>
      <c r="BN537" s="37"/>
      <c r="BO537" s="38"/>
      <c r="BP537" s="36">
        <v>110</v>
      </c>
      <c r="BQ537" s="37"/>
      <c r="BR537" s="38"/>
      <c r="BS537" s="36">
        <f>BP537</f>
        <v>110</v>
      </c>
      <c r="BT537" s="37"/>
      <c r="BU537" s="38"/>
      <c r="BV537" s="36">
        <f>BP537</f>
        <v>110</v>
      </c>
      <c r="BW537" s="37"/>
      <c r="BX537" s="38"/>
      <c r="BY537" s="36">
        <v>120</v>
      </c>
      <c r="BZ537" s="37"/>
      <c r="CA537" s="38"/>
      <c r="CB537" s="36">
        <v>135</v>
      </c>
      <c r="CC537" s="37"/>
      <c r="CD537" s="38"/>
      <c r="CE537" s="36">
        <f>CB537</f>
        <v>135</v>
      </c>
      <c r="CF537" s="37"/>
      <c r="CG537" s="38"/>
      <c r="CH537" s="36">
        <v>145</v>
      </c>
      <c r="CI537" s="37"/>
      <c r="CJ537" s="38"/>
    </row>
    <row r="538" spans="1:57" ht="18" customHeight="1">
      <c r="A538" s="11"/>
      <c r="B538" s="11"/>
      <c r="C538" s="11"/>
      <c r="D538" s="11" t="s">
        <v>79</v>
      </c>
      <c r="E538" s="51">
        <v>0.65</v>
      </c>
      <c r="F538" s="51"/>
      <c r="G538" s="51"/>
      <c r="H538" s="11" t="s">
        <v>83</v>
      </c>
      <c r="I538" s="11" t="s">
        <v>85</v>
      </c>
      <c r="J538" s="219">
        <v>0</v>
      </c>
      <c r="K538" s="51"/>
      <c r="L538" s="11" t="s">
        <v>81</v>
      </c>
      <c r="M538" s="220">
        <f>IF((AG488+AG489)&gt;=0,C498+1,C501+1)</f>
        <v>6</v>
      </c>
      <c r="N538" s="51"/>
      <c r="O538" s="11" t="s">
        <v>298</v>
      </c>
      <c r="P538" s="11" t="s">
        <v>78</v>
      </c>
      <c r="Q538" s="51">
        <v>0.13</v>
      </c>
      <c r="R538" s="51"/>
      <c r="S538" s="51"/>
      <c r="T538" s="11" t="s">
        <v>83</v>
      </c>
      <c r="U538" s="11" t="s">
        <v>85</v>
      </c>
      <c r="V538" s="219">
        <v>0</v>
      </c>
      <c r="W538" s="51"/>
      <c r="X538" s="11" t="s">
        <v>81</v>
      </c>
      <c r="Y538" s="220">
        <f>M538</f>
        <v>6</v>
      </c>
      <c r="Z538" s="51"/>
      <c r="AA538" s="11" t="s">
        <v>89</v>
      </c>
      <c r="AB538" s="11" t="s">
        <v>78</v>
      </c>
      <c r="AC538" s="219">
        <v>1</v>
      </c>
      <c r="AD538" s="51"/>
      <c r="AE538" s="11" t="s">
        <v>79</v>
      </c>
      <c r="AF538" s="51">
        <v>1</v>
      </c>
      <c r="AG538" s="51"/>
      <c r="AH538" s="51"/>
      <c r="AI538" s="5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U538" s="13" t="s">
        <v>33</v>
      </c>
      <c r="AV538" s="13"/>
      <c r="AW538" s="13"/>
      <c r="AX538" s="13"/>
      <c r="AY538" s="13"/>
      <c r="AZ538" s="13"/>
      <c r="BA538" s="13"/>
      <c r="BB538" s="13"/>
      <c r="BC538" s="13"/>
      <c r="BD538" s="13"/>
      <c r="BE538" s="13"/>
    </row>
    <row r="539" spans="1:88" ht="18" customHeight="1">
      <c r="A539" s="11"/>
      <c r="B539" s="11"/>
      <c r="C539" s="11"/>
      <c r="D539" s="11" t="s">
        <v>34</v>
      </c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231"/>
      <c r="AU539" s="36">
        <f>IF(AG480&lt;=0.04,2,IF(AG480&lt;=0.075,3,4))</f>
        <v>2</v>
      </c>
      <c r="AV539" s="37"/>
      <c r="AW539" s="38"/>
      <c r="AX539" s="43" t="s">
        <v>4</v>
      </c>
      <c r="AY539" s="44"/>
      <c r="AZ539" s="45"/>
      <c r="BA539" s="43" t="s">
        <v>5</v>
      </c>
      <c r="BB539" s="44"/>
      <c r="BC539" s="45"/>
      <c r="BD539" s="43" t="s">
        <v>6</v>
      </c>
      <c r="BE539" s="44"/>
      <c r="BF539" s="45"/>
      <c r="BG539" s="43" t="s">
        <v>7</v>
      </c>
      <c r="BH539" s="44"/>
      <c r="BI539" s="45"/>
      <c r="BJ539" s="43" t="s">
        <v>88</v>
      </c>
      <c r="BK539" s="44"/>
      <c r="BL539" s="45"/>
      <c r="BM539" s="224" t="s">
        <v>8</v>
      </c>
      <c r="BN539" s="225"/>
      <c r="BO539" s="226"/>
      <c r="BP539" s="43" t="s">
        <v>9</v>
      </c>
      <c r="BQ539" s="44"/>
      <c r="BR539" s="45"/>
      <c r="BS539" s="43" t="s">
        <v>10</v>
      </c>
      <c r="BT539" s="44"/>
      <c r="BU539" s="45"/>
      <c r="BV539" s="43" t="s">
        <v>11</v>
      </c>
      <c r="BW539" s="44"/>
      <c r="BX539" s="45"/>
      <c r="BY539" s="224" t="s">
        <v>12</v>
      </c>
      <c r="BZ539" s="225"/>
      <c r="CA539" s="226"/>
      <c r="CB539" s="43" t="s">
        <v>13</v>
      </c>
      <c r="CC539" s="44"/>
      <c r="CD539" s="45"/>
      <c r="CE539" s="43" t="s">
        <v>14</v>
      </c>
      <c r="CF539" s="44"/>
      <c r="CG539" s="45"/>
      <c r="CH539" s="224" t="s">
        <v>15</v>
      </c>
      <c r="CI539" s="225"/>
      <c r="CJ539" s="226"/>
    </row>
    <row r="540" spans="1:88" ht="18" customHeight="1">
      <c r="A540" s="11"/>
      <c r="B540" s="11"/>
      <c r="C540" s="11"/>
      <c r="D540" s="11" t="s">
        <v>18</v>
      </c>
      <c r="E540" s="11"/>
      <c r="F540" s="11"/>
      <c r="G540" s="11"/>
      <c r="H540" s="11" t="s">
        <v>19</v>
      </c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231"/>
      <c r="AU540" s="36">
        <v>40</v>
      </c>
      <c r="AV540" s="37"/>
      <c r="AW540" s="38"/>
      <c r="AX540" s="36">
        <v>140</v>
      </c>
      <c r="AY540" s="37"/>
      <c r="AZ540" s="38"/>
      <c r="BA540" s="36">
        <f>AX540</f>
        <v>140</v>
      </c>
      <c r="BB540" s="37"/>
      <c r="BC540" s="38"/>
      <c r="BD540" s="36">
        <f>AX540</f>
        <v>140</v>
      </c>
      <c r="BE540" s="37"/>
      <c r="BF540" s="38"/>
      <c r="BG540" s="36">
        <v>140</v>
      </c>
      <c r="BH540" s="37"/>
      <c r="BI540" s="38"/>
      <c r="BJ540" s="36">
        <v>185</v>
      </c>
      <c r="BK540" s="37"/>
      <c r="BL540" s="38"/>
      <c r="BM540" s="36">
        <f>BJ540</f>
        <v>185</v>
      </c>
      <c r="BN540" s="37"/>
      <c r="BO540" s="38"/>
      <c r="BP540" s="36">
        <v>210</v>
      </c>
      <c r="BQ540" s="37"/>
      <c r="BR540" s="38"/>
      <c r="BS540" s="36">
        <f>BP540</f>
        <v>210</v>
      </c>
      <c r="BT540" s="37"/>
      <c r="BU540" s="38"/>
      <c r="BV540" s="36">
        <f>BP540</f>
        <v>210</v>
      </c>
      <c r="BW540" s="37"/>
      <c r="BX540" s="38"/>
      <c r="BY540" s="36">
        <v>210</v>
      </c>
      <c r="BZ540" s="37"/>
      <c r="CA540" s="38"/>
      <c r="CB540" s="36">
        <v>255</v>
      </c>
      <c r="CC540" s="37"/>
      <c r="CD540" s="38"/>
      <c r="CE540" s="36">
        <f>CB540</f>
        <v>255</v>
      </c>
      <c r="CF540" s="37"/>
      <c r="CG540" s="38"/>
      <c r="CH540" s="36">
        <f>CE540</f>
        <v>255</v>
      </c>
      <c r="CI540" s="37"/>
      <c r="CJ540" s="38"/>
    </row>
    <row r="541" spans="1:88" ht="18" customHeight="1">
      <c r="A541" s="11"/>
      <c r="B541" s="11"/>
      <c r="C541" s="11"/>
      <c r="D541" s="11"/>
      <c r="E541" s="11"/>
      <c r="F541" s="11"/>
      <c r="G541" s="11"/>
      <c r="H541" s="11" t="s">
        <v>20</v>
      </c>
      <c r="I541" s="11"/>
      <c r="J541" s="11"/>
      <c r="K541" s="11"/>
      <c r="L541" s="11"/>
      <c r="M541" s="11"/>
      <c r="N541" s="11"/>
      <c r="O541" s="11"/>
      <c r="P541" s="11"/>
      <c r="Q541" s="11" t="s">
        <v>21</v>
      </c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231"/>
      <c r="AU541" s="228" t="s">
        <v>16</v>
      </c>
      <c r="AV541" s="229"/>
      <c r="AW541" s="230"/>
      <c r="AX541" s="36">
        <v>125</v>
      </c>
      <c r="AY541" s="37"/>
      <c r="AZ541" s="38"/>
      <c r="BA541" s="36">
        <f>AX541</f>
        <v>125</v>
      </c>
      <c r="BB541" s="37"/>
      <c r="BC541" s="38"/>
      <c r="BD541" s="36">
        <f>AX541</f>
        <v>125</v>
      </c>
      <c r="BE541" s="37"/>
      <c r="BF541" s="38"/>
      <c r="BG541" s="36">
        <v>140</v>
      </c>
      <c r="BH541" s="37"/>
      <c r="BI541" s="38"/>
      <c r="BJ541" s="36">
        <v>175</v>
      </c>
      <c r="BK541" s="37"/>
      <c r="BL541" s="38"/>
      <c r="BM541" s="36">
        <f>BM540</f>
        <v>185</v>
      </c>
      <c r="BN541" s="37"/>
      <c r="BO541" s="38"/>
      <c r="BP541" s="36">
        <v>195</v>
      </c>
      <c r="BQ541" s="37"/>
      <c r="BR541" s="38"/>
      <c r="BS541" s="36">
        <f>BP541</f>
        <v>195</v>
      </c>
      <c r="BT541" s="37"/>
      <c r="BU541" s="38"/>
      <c r="BV541" s="36">
        <f>BP541</f>
        <v>195</v>
      </c>
      <c r="BW541" s="37"/>
      <c r="BX541" s="38"/>
      <c r="BY541" s="36">
        <v>210</v>
      </c>
      <c r="BZ541" s="37"/>
      <c r="CA541" s="38"/>
      <c r="CB541" s="36">
        <v>245</v>
      </c>
      <c r="CC541" s="37"/>
      <c r="CD541" s="38"/>
      <c r="CE541" s="36">
        <f>CB541</f>
        <v>245</v>
      </c>
      <c r="CF541" s="37"/>
      <c r="CG541" s="38"/>
      <c r="CH541" s="36">
        <f>CH540</f>
        <v>255</v>
      </c>
      <c r="CI541" s="37"/>
      <c r="CJ541" s="38"/>
    </row>
    <row r="542" spans="1:88" ht="18" customHeight="1">
      <c r="A542" s="11"/>
      <c r="B542" s="11"/>
      <c r="C542" s="11"/>
      <c r="D542" s="11"/>
      <c r="E542" s="11"/>
      <c r="F542" s="11"/>
      <c r="G542" s="11"/>
      <c r="H542" s="11" t="s">
        <v>35</v>
      </c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U542" s="228" t="s">
        <v>17</v>
      </c>
      <c r="AV542" s="229"/>
      <c r="AW542" s="230"/>
      <c r="AX542" s="36">
        <v>125</v>
      </c>
      <c r="AY542" s="37"/>
      <c r="AZ542" s="38"/>
      <c r="BA542" s="36">
        <f>AX542</f>
        <v>125</v>
      </c>
      <c r="BB542" s="37"/>
      <c r="BC542" s="38"/>
      <c r="BD542" s="36">
        <f>AX542</f>
        <v>125</v>
      </c>
      <c r="BE542" s="37"/>
      <c r="BF542" s="38"/>
      <c r="BG542" s="36">
        <v>140</v>
      </c>
      <c r="BH542" s="37"/>
      <c r="BI542" s="38"/>
      <c r="BJ542" s="36">
        <v>175</v>
      </c>
      <c r="BK542" s="37"/>
      <c r="BL542" s="38"/>
      <c r="BM542" s="36">
        <f>BM540</f>
        <v>185</v>
      </c>
      <c r="BN542" s="37"/>
      <c r="BO542" s="38"/>
      <c r="BP542" s="36">
        <v>190</v>
      </c>
      <c r="BQ542" s="37"/>
      <c r="BR542" s="38"/>
      <c r="BS542" s="36">
        <f>BP542</f>
        <v>190</v>
      </c>
      <c r="BT542" s="37"/>
      <c r="BU542" s="38"/>
      <c r="BV542" s="36">
        <f>BP542</f>
        <v>190</v>
      </c>
      <c r="BW542" s="37"/>
      <c r="BX542" s="38"/>
      <c r="BY542" s="36">
        <v>210</v>
      </c>
      <c r="BZ542" s="37"/>
      <c r="CA542" s="38"/>
      <c r="CB542" s="36">
        <v>240</v>
      </c>
      <c r="CC542" s="37"/>
      <c r="CD542" s="38"/>
      <c r="CE542" s="36">
        <f>CB542</f>
        <v>240</v>
      </c>
      <c r="CF542" s="37"/>
      <c r="CG542" s="38"/>
      <c r="CH542" s="36">
        <f>CH540</f>
        <v>255</v>
      </c>
      <c r="CI542" s="37"/>
      <c r="CJ542" s="38"/>
    </row>
    <row r="543" spans="1:57" ht="18" customHeight="1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 t="s">
        <v>36</v>
      </c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11"/>
      <c r="AN543" s="11"/>
      <c r="AO543" s="11"/>
      <c r="AP543" s="11"/>
      <c r="AQ543" s="11"/>
      <c r="AR543" s="11"/>
      <c r="AS543" s="11"/>
      <c r="AT543" s="14"/>
      <c r="AU543" s="13" t="s">
        <v>37</v>
      </c>
      <c r="AV543" s="13"/>
      <c r="AW543" s="13"/>
      <c r="AX543" s="13"/>
      <c r="AY543" s="13"/>
      <c r="AZ543" s="13"/>
      <c r="BA543" s="13"/>
      <c r="BB543" s="13"/>
      <c r="BC543" s="13"/>
      <c r="BD543" s="13"/>
      <c r="BE543" s="13"/>
    </row>
    <row r="544" spans="1:88" ht="18" customHeight="1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11"/>
      <c r="AN544" s="11"/>
      <c r="AO544" s="11"/>
      <c r="AP544" s="11"/>
      <c r="AQ544" s="11"/>
      <c r="AR544" s="11"/>
      <c r="AS544" s="11"/>
      <c r="AT544" s="15"/>
      <c r="AU544" s="36">
        <f>IF(AG479&lt;=0.04,2,IF(AG479&lt;=0.075,3,4))</f>
        <v>2</v>
      </c>
      <c r="AV544" s="37"/>
      <c r="AW544" s="38"/>
      <c r="AX544" s="43" t="s">
        <v>4</v>
      </c>
      <c r="AY544" s="44"/>
      <c r="AZ544" s="45"/>
      <c r="BA544" s="43" t="s">
        <v>5</v>
      </c>
      <c r="BB544" s="44"/>
      <c r="BC544" s="45"/>
      <c r="BD544" s="43" t="s">
        <v>6</v>
      </c>
      <c r="BE544" s="44"/>
      <c r="BF544" s="45"/>
      <c r="BG544" s="43" t="s">
        <v>7</v>
      </c>
      <c r="BH544" s="44"/>
      <c r="BI544" s="45"/>
      <c r="BJ544" s="43" t="s">
        <v>88</v>
      </c>
      <c r="BK544" s="44"/>
      <c r="BL544" s="45"/>
      <c r="BM544" s="224" t="s">
        <v>8</v>
      </c>
      <c r="BN544" s="225"/>
      <c r="BO544" s="226"/>
      <c r="BP544" s="43" t="s">
        <v>9</v>
      </c>
      <c r="BQ544" s="44"/>
      <c r="BR544" s="45"/>
      <c r="BS544" s="43" t="s">
        <v>10</v>
      </c>
      <c r="BT544" s="44"/>
      <c r="BU544" s="45"/>
      <c r="BV544" s="43" t="s">
        <v>11</v>
      </c>
      <c r="BW544" s="44"/>
      <c r="BX544" s="45"/>
      <c r="BY544" s="224" t="s">
        <v>12</v>
      </c>
      <c r="BZ544" s="225"/>
      <c r="CA544" s="226"/>
      <c r="CB544" s="43" t="s">
        <v>13</v>
      </c>
      <c r="CC544" s="44"/>
      <c r="CD544" s="45"/>
      <c r="CE544" s="43" t="s">
        <v>14</v>
      </c>
      <c r="CF544" s="44"/>
      <c r="CG544" s="45"/>
      <c r="CH544" s="224" t="s">
        <v>15</v>
      </c>
      <c r="CI544" s="225"/>
      <c r="CJ544" s="226"/>
    </row>
    <row r="545" spans="1:88" ht="18" customHeight="1">
      <c r="A545" s="11"/>
      <c r="B545" s="11"/>
      <c r="C545" s="11" t="s">
        <v>22</v>
      </c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 t="s">
        <v>85</v>
      </c>
      <c r="S545" s="51" t="str">
        <f>AG470</f>
        <v>SMA490</v>
      </c>
      <c r="T545" s="51"/>
      <c r="U545" s="51"/>
      <c r="V545" s="51"/>
      <c r="W545" s="11" t="s">
        <v>23</v>
      </c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11"/>
      <c r="AN545" s="11"/>
      <c r="AO545" s="11"/>
      <c r="AP545" s="11"/>
      <c r="AQ545" s="11"/>
      <c r="AR545" s="11"/>
      <c r="AS545" s="11"/>
      <c r="AT545" s="232"/>
      <c r="AU545" s="36">
        <v>40</v>
      </c>
      <c r="AV545" s="37"/>
      <c r="AW545" s="38"/>
      <c r="AX545" s="36">
        <v>140</v>
      </c>
      <c r="AY545" s="37"/>
      <c r="AZ545" s="38"/>
      <c r="BA545" s="36">
        <f>AX545</f>
        <v>140</v>
      </c>
      <c r="BB545" s="37"/>
      <c r="BC545" s="38"/>
      <c r="BD545" s="36">
        <f>AX545</f>
        <v>140</v>
      </c>
      <c r="BE545" s="37"/>
      <c r="BF545" s="38"/>
      <c r="BG545" s="36">
        <v>140</v>
      </c>
      <c r="BH545" s="37"/>
      <c r="BI545" s="38"/>
      <c r="BJ545" s="36">
        <v>185</v>
      </c>
      <c r="BK545" s="37"/>
      <c r="BL545" s="38"/>
      <c r="BM545" s="36">
        <f>BJ545</f>
        <v>185</v>
      </c>
      <c r="BN545" s="37"/>
      <c r="BO545" s="38"/>
      <c r="BP545" s="36">
        <v>210</v>
      </c>
      <c r="BQ545" s="37"/>
      <c r="BR545" s="38"/>
      <c r="BS545" s="36">
        <f>BP545</f>
        <v>210</v>
      </c>
      <c r="BT545" s="37"/>
      <c r="BU545" s="38"/>
      <c r="BV545" s="36">
        <f>BP545</f>
        <v>210</v>
      </c>
      <c r="BW545" s="37"/>
      <c r="BX545" s="38"/>
      <c r="BY545" s="36">
        <v>210</v>
      </c>
      <c r="BZ545" s="37"/>
      <c r="CA545" s="38"/>
      <c r="CB545" s="36">
        <v>255</v>
      </c>
      <c r="CC545" s="37"/>
      <c r="CD545" s="38"/>
      <c r="CE545" s="36">
        <f>CB545</f>
        <v>255</v>
      </c>
      <c r="CF545" s="37"/>
      <c r="CG545" s="38"/>
      <c r="CH545" s="36">
        <f>CE545</f>
        <v>255</v>
      </c>
      <c r="CI545" s="37"/>
      <c r="CJ545" s="38"/>
    </row>
    <row r="546" spans="1:88" ht="18" customHeight="1">
      <c r="A546" s="11"/>
      <c r="B546" s="11"/>
      <c r="C546" s="11"/>
      <c r="D546" s="11"/>
      <c r="E546" s="11" t="s">
        <v>90</v>
      </c>
      <c r="F546" s="11"/>
      <c r="G546" s="11"/>
      <c r="H546" s="219">
        <f>HLOOKUP(S545,AX539:CJ542,AU539,FALSE)</f>
        <v>210</v>
      </c>
      <c r="I546" s="219"/>
      <c r="J546" s="219"/>
      <c r="K546" s="219"/>
      <c r="L546" s="11" t="s">
        <v>28</v>
      </c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11"/>
      <c r="AN546" s="11"/>
      <c r="AO546" s="11"/>
      <c r="AP546" s="11"/>
      <c r="AQ546" s="11"/>
      <c r="AR546" s="11"/>
      <c r="AS546" s="11"/>
      <c r="AU546" s="228" t="s">
        <v>16</v>
      </c>
      <c r="AV546" s="229"/>
      <c r="AW546" s="230"/>
      <c r="AX546" s="36">
        <v>125</v>
      </c>
      <c r="AY546" s="37"/>
      <c r="AZ546" s="38"/>
      <c r="BA546" s="36">
        <f>AX546</f>
        <v>125</v>
      </c>
      <c r="BB546" s="37"/>
      <c r="BC546" s="38"/>
      <c r="BD546" s="36">
        <f>AX546</f>
        <v>125</v>
      </c>
      <c r="BE546" s="37"/>
      <c r="BF546" s="38"/>
      <c r="BG546" s="36">
        <v>140</v>
      </c>
      <c r="BH546" s="37"/>
      <c r="BI546" s="38"/>
      <c r="BJ546" s="36">
        <v>175</v>
      </c>
      <c r="BK546" s="37"/>
      <c r="BL546" s="38"/>
      <c r="BM546" s="36">
        <f>BM545</f>
        <v>185</v>
      </c>
      <c r="BN546" s="37"/>
      <c r="BO546" s="38"/>
      <c r="BP546" s="36">
        <v>195</v>
      </c>
      <c r="BQ546" s="37"/>
      <c r="BR546" s="38"/>
      <c r="BS546" s="36">
        <f>BP546</f>
        <v>195</v>
      </c>
      <c r="BT546" s="37"/>
      <c r="BU546" s="38"/>
      <c r="BV546" s="36">
        <f>BP546</f>
        <v>195</v>
      </c>
      <c r="BW546" s="37"/>
      <c r="BX546" s="38"/>
      <c r="BY546" s="36">
        <v>210</v>
      </c>
      <c r="BZ546" s="37"/>
      <c r="CA546" s="38"/>
      <c r="CB546" s="36">
        <v>245</v>
      </c>
      <c r="CC546" s="37"/>
      <c r="CD546" s="38"/>
      <c r="CE546" s="36">
        <f>CB546</f>
        <v>245</v>
      </c>
      <c r="CF546" s="37"/>
      <c r="CG546" s="38"/>
      <c r="CH546" s="36">
        <f>CH545</f>
        <v>255</v>
      </c>
      <c r="CI546" s="37"/>
      <c r="CJ546" s="38"/>
    </row>
    <row r="547" spans="1:88" ht="18" customHeight="1">
      <c r="A547" s="11"/>
      <c r="B547" s="11"/>
      <c r="C547" s="11" t="s">
        <v>24</v>
      </c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 t="s">
        <v>85</v>
      </c>
      <c r="S547" s="51" t="str">
        <f>S545</f>
        <v>SMA490</v>
      </c>
      <c r="T547" s="51"/>
      <c r="U547" s="51"/>
      <c r="V547" s="51"/>
      <c r="W547" s="11" t="s">
        <v>23</v>
      </c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11"/>
      <c r="AN547" s="11"/>
      <c r="AO547" s="11"/>
      <c r="AP547" s="11"/>
      <c r="AQ547" s="11"/>
      <c r="AR547" s="11"/>
      <c r="AS547" s="11"/>
      <c r="AU547" s="228" t="s">
        <v>17</v>
      </c>
      <c r="AV547" s="229"/>
      <c r="AW547" s="230"/>
      <c r="AX547" s="36">
        <v>125</v>
      </c>
      <c r="AY547" s="37"/>
      <c r="AZ547" s="38"/>
      <c r="BA547" s="36">
        <f>AX547</f>
        <v>125</v>
      </c>
      <c r="BB547" s="37"/>
      <c r="BC547" s="38"/>
      <c r="BD547" s="36">
        <f>AX547</f>
        <v>125</v>
      </c>
      <c r="BE547" s="37"/>
      <c r="BF547" s="38"/>
      <c r="BG547" s="36">
        <v>140</v>
      </c>
      <c r="BH547" s="37"/>
      <c r="BI547" s="38"/>
      <c r="BJ547" s="36">
        <v>175</v>
      </c>
      <c r="BK547" s="37"/>
      <c r="BL547" s="38"/>
      <c r="BM547" s="36">
        <f>BM545</f>
        <v>185</v>
      </c>
      <c r="BN547" s="37"/>
      <c r="BO547" s="38"/>
      <c r="BP547" s="36">
        <v>190</v>
      </c>
      <c r="BQ547" s="37"/>
      <c r="BR547" s="38"/>
      <c r="BS547" s="36">
        <f>BP547</f>
        <v>190</v>
      </c>
      <c r="BT547" s="37"/>
      <c r="BU547" s="38"/>
      <c r="BV547" s="36">
        <f>BP547</f>
        <v>190</v>
      </c>
      <c r="BW547" s="37"/>
      <c r="BX547" s="38"/>
      <c r="BY547" s="36">
        <v>210</v>
      </c>
      <c r="BZ547" s="37"/>
      <c r="CA547" s="38"/>
      <c r="CB547" s="36">
        <v>240</v>
      </c>
      <c r="CC547" s="37"/>
      <c r="CD547" s="38"/>
      <c r="CE547" s="36">
        <f>CB547</f>
        <v>240</v>
      </c>
      <c r="CF547" s="37"/>
      <c r="CG547" s="38"/>
      <c r="CH547" s="36">
        <f>CH545</f>
        <v>255</v>
      </c>
      <c r="CI547" s="37"/>
      <c r="CJ547" s="38"/>
    </row>
    <row r="548" spans="1:57" ht="18" customHeight="1">
      <c r="A548" s="11"/>
      <c r="B548" s="11"/>
      <c r="C548" s="11"/>
      <c r="D548" s="11"/>
      <c r="E548" s="51" t="s">
        <v>38</v>
      </c>
      <c r="F548" s="51"/>
      <c r="G548" s="51"/>
      <c r="H548" s="51"/>
      <c r="I548" s="51"/>
      <c r="J548" s="233"/>
      <c r="K548" s="234" t="s">
        <v>91</v>
      </c>
      <c r="L548" s="234"/>
      <c r="M548" s="233"/>
      <c r="N548" s="233"/>
      <c r="O548" s="11"/>
      <c r="P548" s="51" t="s">
        <v>79</v>
      </c>
      <c r="Q548" s="11"/>
      <c r="R548" s="233"/>
      <c r="S548" s="233"/>
      <c r="T548" s="235">
        <f>(AG473+AM473)*1000</f>
        <v>2400</v>
      </c>
      <c r="U548" s="234"/>
      <c r="V548" s="234"/>
      <c r="W548" s="233"/>
      <c r="X548" s="233"/>
      <c r="Y548" s="233"/>
      <c r="Z548" s="233"/>
      <c r="AA548" s="51" t="s">
        <v>79</v>
      </c>
      <c r="AB548" s="51"/>
      <c r="AC548" s="219">
        <f>T548/(R549*U549*Y549)</f>
        <v>18.181818181818183</v>
      </c>
      <c r="AD548" s="219"/>
      <c r="AE548" s="219"/>
      <c r="AF548" s="51" t="s">
        <v>71</v>
      </c>
      <c r="AG548" s="51"/>
      <c r="AH548" s="11"/>
      <c r="AI548" s="11"/>
      <c r="AJ548" s="11"/>
      <c r="AK548" s="11"/>
      <c r="AL548" s="11"/>
      <c r="AM548" s="11"/>
      <c r="AN548" s="11"/>
      <c r="AO548" s="11"/>
      <c r="AP548" s="11"/>
      <c r="AQ548" s="11"/>
      <c r="AR548" s="11"/>
      <c r="AS548" s="11"/>
      <c r="AU548" s="13" t="s">
        <v>39</v>
      </c>
      <c r="AV548" s="13"/>
      <c r="AW548" s="13"/>
      <c r="AX548" s="13"/>
      <c r="AY548" s="13"/>
      <c r="AZ548" s="13"/>
      <c r="BA548" s="13"/>
      <c r="BB548" s="13"/>
      <c r="BC548" s="13"/>
      <c r="BD548" s="13"/>
      <c r="BE548" s="13"/>
    </row>
    <row r="549" spans="1:88" ht="18" customHeight="1">
      <c r="A549" s="11"/>
      <c r="B549" s="11"/>
      <c r="C549" s="11"/>
      <c r="D549" s="11"/>
      <c r="E549" s="51"/>
      <c r="F549" s="51"/>
      <c r="G549" s="51"/>
      <c r="H549" s="51"/>
      <c r="I549" s="51"/>
      <c r="J549" s="236">
        <f>HLOOKUP(S547,AX549:CJ552,AU550,FALSE)</f>
        <v>22</v>
      </c>
      <c r="K549" s="237"/>
      <c r="L549" s="11" t="s">
        <v>92</v>
      </c>
      <c r="M549" s="11"/>
      <c r="N549" s="11"/>
      <c r="O549" s="11"/>
      <c r="P549" s="51"/>
      <c r="Q549" s="11"/>
      <c r="R549" s="236">
        <f>J549</f>
        <v>22</v>
      </c>
      <c r="S549" s="237"/>
      <c r="T549" s="11" t="s">
        <v>83</v>
      </c>
      <c r="U549" s="237">
        <f>AF538</f>
        <v>1</v>
      </c>
      <c r="V549" s="237"/>
      <c r="W549" s="237"/>
      <c r="X549" s="11" t="s">
        <v>83</v>
      </c>
      <c r="Y549" s="236">
        <f>C498+1</f>
        <v>6</v>
      </c>
      <c r="Z549" s="237"/>
      <c r="AA549" s="51"/>
      <c r="AB549" s="51"/>
      <c r="AC549" s="219"/>
      <c r="AD549" s="219"/>
      <c r="AE549" s="219"/>
      <c r="AF549" s="51"/>
      <c r="AG549" s="51"/>
      <c r="AH549" s="11"/>
      <c r="AI549" s="11"/>
      <c r="AJ549" s="11"/>
      <c r="AK549" s="11"/>
      <c r="AL549" s="11"/>
      <c r="AM549" s="11"/>
      <c r="AN549" s="11"/>
      <c r="AO549" s="11"/>
      <c r="AP549" s="11"/>
      <c r="AQ549" s="11"/>
      <c r="AR549" s="11"/>
      <c r="AS549" s="11"/>
      <c r="AU549" s="36">
        <f>AU544</f>
        <v>2</v>
      </c>
      <c r="AV549" s="37"/>
      <c r="AW549" s="38"/>
      <c r="AX549" s="43" t="s">
        <v>4</v>
      </c>
      <c r="AY549" s="44"/>
      <c r="AZ549" s="45"/>
      <c r="BA549" s="46" t="s">
        <v>5</v>
      </c>
      <c r="BB549" s="47"/>
      <c r="BC549" s="48"/>
      <c r="BD549" s="43" t="s">
        <v>6</v>
      </c>
      <c r="BE549" s="44"/>
      <c r="BF549" s="45"/>
      <c r="BG549" s="43" t="s">
        <v>7</v>
      </c>
      <c r="BH549" s="44"/>
      <c r="BI549" s="45"/>
      <c r="BJ549" s="43" t="s">
        <v>88</v>
      </c>
      <c r="BK549" s="44"/>
      <c r="BL549" s="45"/>
      <c r="BM549" s="224" t="s">
        <v>8</v>
      </c>
      <c r="BN549" s="225"/>
      <c r="BO549" s="226"/>
      <c r="BP549" s="43" t="s">
        <v>9</v>
      </c>
      <c r="BQ549" s="44"/>
      <c r="BR549" s="45"/>
      <c r="BS549" s="43" t="s">
        <v>10</v>
      </c>
      <c r="BT549" s="44"/>
      <c r="BU549" s="45"/>
      <c r="BV549" s="43" t="s">
        <v>11</v>
      </c>
      <c r="BW549" s="44"/>
      <c r="BX549" s="45"/>
      <c r="BY549" s="224" t="s">
        <v>12</v>
      </c>
      <c r="BZ549" s="225"/>
      <c r="CA549" s="226"/>
      <c r="CB549" s="43" t="s">
        <v>13</v>
      </c>
      <c r="CC549" s="44"/>
      <c r="CD549" s="45"/>
      <c r="CE549" s="43" t="s">
        <v>14</v>
      </c>
      <c r="CF549" s="44"/>
      <c r="CG549" s="45"/>
      <c r="CH549" s="224" t="s">
        <v>15</v>
      </c>
      <c r="CI549" s="225"/>
      <c r="CJ549" s="226"/>
    </row>
    <row r="550" spans="1:88" ht="18" customHeight="1">
      <c r="A550" s="11"/>
      <c r="B550" s="11"/>
      <c r="C550" s="11"/>
      <c r="D550" s="11"/>
      <c r="E550" s="11"/>
      <c r="F550" s="11"/>
      <c r="G550" s="11" t="s">
        <v>25</v>
      </c>
      <c r="H550" s="11"/>
      <c r="I550" s="11"/>
      <c r="J550" s="11"/>
      <c r="K550" s="11"/>
      <c r="L550" s="11"/>
      <c r="M550" s="11"/>
      <c r="N550" s="11"/>
      <c r="O550" s="167">
        <f>HLOOKUP(S547,AX544:CJ547,AU544,FALSE)</f>
        <v>210</v>
      </c>
      <c r="P550" s="167"/>
      <c r="Q550" s="167"/>
      <c r="R550" s="167"/>
      <c r="S550" s="11" t="s">
        <v>28</v>
      </c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11"/>
      <c r="AN550" s="11"/>
      <c r="AO550" s="11"/>
      <c r="AP550" s="11"/>
      <c r="AQ550" s="11"/>
      <c r="AR550" s="11"/>
      <c r="AS550" s="11"/>
      <c r="AU550" s="36">
        <v>2</v>
      </c>
      <c r="AV550" s="37"/>
      <c r="AW550" s="38"/>
      <c r="AX550" s="34">
        <v>28</v>
      </c>
      <c r="AY550" s="34"/>
      <c r="AZ550" s="34"/>
      <c r="BA550" s="39">
        <f>AX550</f>
        <v>28</v>
      </c>
      <c r="BB550" s="39"/>
      <c r="BC550" s="39"/>
      <c r="BD550" s="34">
        <f>AX550</f>
        <v>28</v>
      </c>
      <c r="BE550" s="34"/>
      <c r="BF550" s="34"/>
      <c r="BG550" s="34">
        <f>BA550</f>
        <v>28</v>
      </c>
      <c r="BH550" s="34"/>
      <c r="BI550" s="34"/>
      <c r="BJ550" s="35">
        <v>24</v>
      </c>
      <c r="BK550" s="35"/>
      <c r="BL550" s="35"/>
      <c r="BM550" s="35">
        <f>BJ550</f>
        <v>24</v>
      </c>
      <c r="BN550" s="35"/>
      <c r="BO550" s="35"/>
      <c r="BP550" s="35">
        <v>22</v>
      </c>
      <c r="BQ550" s="35"/>
      <c r="BR550" s="35"/>
      <c r="BS550" s="35">
        <f>BP550</f>
        <v>22</v>
      </c>
      <c r="BT550" s="35"/>
      <c r="BU550" s="35"/>
      <c r="BV550" s="35">
        <f>BP550</f>
        <v>22</v>
      </c>
      <c r="BW550" s="35"/>
      <c r="BX550" s="35"/>
      <c r="BY550" s="34">
        <f>BP550</f>
        <v>22</v>
      </c>
      <c r="BZ550" s="34"/>
      <c r="CA550" s="34"/>
      <c r="CB550" s="34">
        <v>22</v>
      </c>
      <c r="CC550" s="34"/>
      <c r="CD550" s="34"/>
      <c r="CE550" s="34">
        <f>CB550</f>
        <v>22</v>
      </c>
      <c r="CF550" s="34"/>
      <c r="CG550" s="34"/>
      <c r="CH550" s="34">
        <f>CB550</f>
        <v>22</v>
      </c>
      <c r="CI550" s="34"/>
      <c r="CJ550" s="34"/>
    </row>
    <row r="551" spans="1:88" ht="18" customHeight="1">
      <c r="A551" s="11"/>
      <c r="B551" s="11"/>
      <c r="C551" s="11"/>
      <c r="D551" s="11"/>
      <c r="E551" s="233"/>
      <c r="F551" s="234" t="s">
        <v>91</v>
      </c>
      <c r="G551" s="234"/>
      <c r="H551" s="233"/>
      <c r="I551" s="11"/>
      <c r="J551" s="51" t="s">
        <v>93</v>
      </c>
      <c r="K551" s="51" t="s">
        <v>38</v>
      </c>
      <c r="L551" s="51"/>
      <c r="M551" s="51"/>
      <c r="N551" s="51"/>
      <c r="O551" s="51"/>
      <c r="P551" s="233"/>
      <c r="Q551" s="234" t="s">
        <v>91</v>
      </c>
      <c r="R551" s="234"/>
      <c r="S551" s="233"/>
      <c r="T551" s="11"/>
      <c r="U551" s="51" t="s">
        <v>79</v>
      </c>
      <c r="V551" s="233"/>
      <c r="W551" s="233"/>
      <c r="X551" s="235">
        <f>(AG473+AM473)*1000</f>
        <v>2400</v>
      </c>
      <c r="Y551" s="234"/>
      <c r="Z551" s="234"/>
      <c r="AA551" s="233"/>
      <c r="AB551" s="233"/>
      <c r="AC551" s="233"/>
      <c r="AD551" s="233"/>
      <c r="AE551" s="51" t="s">
        <v>79</v>
      </c>
      <c r="AF551" s="219">
        <f>X551/(V552*Y552*AC552)</f>
        <v>8.695652173913043</v>
      </c>
      <c r="AG551" s="219"/>
      <c r="AH551" s="219"/>
      <c r="AI551" s="51" t="s">
        <v>71</v>
      </c>
      <c r="AJ551" s="51"/>
      <c r="AK551" s="11"/>
      <c r="AL551" s="11"/>
      <c r="AM551" s="11"/>
      <c r="AN551" s="11"/>
      <c r="AO551" s="11"/>
      <c r="AP551" s="11"/>
      <c r="AQ551" s="11"/>
      <c r="AR551" s="11"/>
      <c r="AS551" s="11"/>
      <c r="AU551" s="36">
        <v>3</v>
      </c>
      <c r="AV551" s="37"/>
      <c r="AW551" s="38"/>
      <c r="AX551" s="40">
        <f>IF(AU549=2,2.6,2.1)</f>
        <v>2.6</v>
      </c>
      <c r="AY551" s="40"/>
      <c r="AZ551" s="40"/>
      <c r="BA551" s="42">
        <f>AX551</f>
        <v>2.6</v>
      </c>
      <c r="BB551" s="42"/>
      <c r="BC551" s="42"/>
      <c r="BD551" s="40">
        <f>AX551</f>
        <v>2.6</v>
      </c>
      <c r="BE551" s="40"/>
      <c r="BF551" s="40"/>
      <c r="BG551" s="40">
        <f>BA551</f>
        <v>2.6</v>
      </c>
      <c r="BH551" s="40"/>
      <c r="BI551" s="40"/>
      <c r="BJ551" s="41">
        <f>IF(AU549=2,3.9,3.5)</f>
        <v>3.9</v>
      </c>
      <c r="BK551" s="41"/>
      <c r="BL551" s="41"/>
      <c r="BM551" s="41">
        <f>BJ551</f>
        <v>3.9</v>
      </c>
      <c r="BN551" s="41"/>
      <c r="BO551" s="41"/>
      <c r="BP551" s="41">
        <f>IF(AU549=2,4.6,IF(AU549=3,4,3.7))</f>
        <v>4.6</v>
      </c>
      <c r="BQ551" s="41"/>
      <c r="BR551" s="41"/>
      <c r="BS551" s="41">
        <f>BP551</f>
        <v>4.6</v>
      </c>
      <c r="BT551" s="41"/>
      <c r="BU551" s="41"/>
      <c r="BV551" s="41">
        <f>BP551</f>
        <v>4.6</v>
      </c>
      <c r="BW551" s="41"/>
      <c r="BX551" s="41"/>
      <c r="BY551" s="40">
        <f>BP551</f>
        <v>4.6</v>
      </c>
      <c r="BZ551" s="40"/>
      <c r="CA551" s="40"/>
      <c r="CB551" s="40">
        <f>IF(AU549=2,6.9,IF(AU549=3,6.2,6))</f>
        <v>6.9</v>
      </c>
      <c r="CC551" s="40"/>
      <c r="CD551" s="40"/>
      <c r="CE551" s="40">
        <f>CB551</f>
        <v>6.9</v>
      </c>
      <c r="CF551" s="40"/>
      <c r="CG551" s="40"/>
      <c r="CH551" s="40">
        <f>CB551</f>
        <v>6.9</v>
      </c>
      <c r="CI551" s="40"/>
      <c r="CJ551" s="40"/>
    </row>
    <row r="552" spans="1:88" ht="18" customHeight="1">
      <c r="A552" s="11"/>
      <c r="B552" s="11"/>
      <c r="C552" s="11"/>
      <c r="D552" s="11"/>
      <c r="E552" s="236">
        <f>HLOOKUP(S547,AX549:CJ552,AU550,FALSE)</f>
        <v>22</v>
      </c>
      <c r="F552" s="237"/>
      <c r="G552" s="11" t="s">
        <v>92</v>
      </c>
      <c r="H552" s="11"/>
      <c r="I552" s="11"/>
      <c r="J552" s="51"/>
      <c r="K552" s="51"/>
      <c r="L552" s="51"/>
      <c r="M552" s="51"/>
      <c r="N552" s="51"/>
      <c r="O552" s="51"/>
      <c r="P552" s="236">
        <f>HLOOKUP(S547,AX549:CJ552,AU552,FALSE)</f>
        <v>46</v>
      </c>
      <c r="Q552" s="237"/>
      <c r="R552" s="11" t="s">
        <v>92</v>
      </c>
      <c r="S552" s="11"/>
      <c r="T552" s="11"/>
      <c r="U552" s="51"/>
      <c r="V552" s="236">
        <f>P552</f>
        <v>46</v>
      </c>
      <c r="W552" s="237"/>
      <c r="X552" s="11" t="s">
        <v>83</v>
      </c>
      <c r="Y552" s="237">
        <f>AF538</f>
        <v>1</v>
      </c>
      <c r="Z552" s="237"/>
      <c r="AA552" s="237"/>
      <c r="AB552" s="11" t="s">
        <v>83</v>
      </c>
      <c r="AC552" s="236">
        <f>C498+1</f>
        <v>6</v>
      </c>
      <c r="AD552" s="237"/>
      <c r="AE552" s="51"/>
      <c r="AF552" s="219"/>
      <c r="AG552" s="219"/>
      <c r="AH552" s="219"/>
      <c r="AI552" s="51"/>
      <c r="AJ552" s="51"/>
      <c r="AK552" s="11"/>
      <c r="AL552" s="11"/>
      <c r="AM552" s="11"/>
      <c r="AN552" s="11"/>
      <c r="AO552" s="11"/>
      <c r="AP552" s="11"/>
      <c r="AQ552" s="11"/>
      <c r="AR552" s="11"/>
      <c r="AS552" s="11"/>
      <c r="AU552" s="36">
        <v>4</v>
      </c>
      <c r="AV552" s="37"/>
      <c r="AW552" s="38"/>
      <c r="AX552" s="34">
        <f>IF(AU549=2,56,58)</f>
        <v>56</v>
      </c>
      <c r="AY552" s="34"/>
      <c r="AZ552" s="34"/>
      <c r="BA552" s="39">
        <f>AX552</f>
        <v>56</v>
      </c>
      <c r="BB552" s="39"/>
      <c r="BC552" s="39"/>
      <c r="BD552" s="34">
        <f>AX552</f>
        <v>56</v>
      </c>
      <c r="BE552" s="34"/>
      <c r="BF552" s="34"/>
      <c r="BG552" s="34">
        <f>BA552</f>
        <v>56</v>
      </c>
      <c r="BH552" s="34"/>
      <c r="BI552" s="34"/>
      <c r="BJ552" s="35">
        <f>IF(AU549=2,48,50)</f>
        <v>48</v>
      </c>
      <c r="BK552" s="35"/>
      <c r="BL552" s="35"/>
      <c r="BM552" s="35">
        <f>BJ552</f>
        <v>48</v>
      </c>
      <c r="BN552" s="35"/>
      <c r="BO552" s="35"/>
      <c r="BP552" s="35">
        <f>IF(AU549=2,46,IF(AU549=3,46,48))</f>
        <v>46</v>
      </c>
      <c r="BQ552" s="35"/>
      <c r="BR552" s="35"/>
      <c r="BS552" s="35">
        <f>BP552</f>
        <v>46</v>
      </c>
      <c r="BT552" s="35"/>
      <c r="BU552" s="35"/>
      <c r="BV552" s="35">
        <f>BP552</f>
        <v>46</v>
      </c>
      <c r="BW552" s="35"/>
      <c r="BX552" s="35"/>
      <c r="BY552" s="34">
        <f>BP552</f>
        <v>46</v>
      </c>
      <c r="BZ552" s="34"/>
      <c r="CA552" s="34"/>
      <c r="CB552" s="34">
        <f>IF(AU549=2,40,IF(AU549=3,42,42))</f>
        <v>40</v>
      </c>
      <c r="CC552" s="34"/>
      <c r="CD552" s="34"/>
      <c r="CE552" s="34">
        <f>CB552</f>
        <v>40</v>
      </c>
      <c r="CF552" s="34"/>
      <c r="CG552" s="34"/>
      <c r="CH552" s="34">
        <f>CB552</f>
        <v>40</v>
      </c>
      <c r="CI552" s="34"/>
      <c r="CJ552" s="34"/>
    </row>
    <row r="553" spans="1:55" ht="18" customHeight="1">
      <c r="A553" s="11"/>
      <c r="B553" s="11"/>
      <c r="C553" s="11"/>
      <c r="D553" s="11"/>
      <c r="E553" s="11"/>
      <c r="F553" s="11"/>
      <c r="G553" s="11" t="s">
        <v>25</v>
      </c>
      <c r="H553" s="11"/>
      <c r="I553" s="11"/>
      <c r="J553" s="11"/>
      <c r="K553" s="11"/>
      <c r="L553" s="11"/>
      <c r="M553" s="11"/>
      <c r="N553" s="11"/>
      <c r="O553" s="220">
        <f>O550</f>
        <v>210</v>
      </c>
      <c r="P553" s="51"/>
      <c r="Q553" s="51"/>
      <c r="R553" s="11" t="s">
        <v>72</v>
      </c>
      <c r="S553" s="220">
        <f>HLOOKUP(S547,AX549:CJ552,AU551,FALSE)</f>
        <v>4.6</v>
      </c>
      <c r="T553" s="51"/>
      <c r="U553" s="11" t="s">
        <v>85</v>
      </c>
      <c r="V553" s="11" t="s">
        <v>94</v>
      </c>
      <c r="W553" s="11"/>
      <c r="X553" s="11"/>
      <c r="Y553" s="11"/>
      <c r="Z553" s="11"/>
      <c r="AA553" s="11"/>
      <c r="AB553" s="238">
        <f>E552</f>
        <v>22</v>
      </c>
      <c r="AC553" s="9"/>
      <c r="AD553" s="11" t="s">
        <v>89</v>
      </c>
      <c r="AE553" s="11" t="s">
        <v>79</v>
      </c>
      <c r="AF553" s="167">
        <f>ROUND(O553-S553*(X551/(AG479*1000*AF538*(C498+1))-AB553),3)</f>
        <v>223.581</v>
      </c>
      <c r="AG553" s="167"/>
      <c r="AH553" s="167"/>
      <c r="AI553" s="167"/>
      <c r="AJ553" s="11" t="s">
        <v>28</v>
      </c>
      <c r="AK553" s="11"/>
      <c r="AL553" s="11"/>
      <c r="AM553" s="11"/>
      <c r="AN553" s="11"/>
      <c r="AO553" s="11"/>
      <c r="AP553" s="11"/>
      <c r="AQ553" s="11"/>
      <c r="AR553" s="11"/>
      <c r="AS553" s="11"/>
      <c r="BA553" s="11"/>
      <c r="BB553" s="11"/>
      <c r="BC553" s="11"/>
    </row>
    <row r="554" spans="1:45" ht="18" customHeight="1">
      <c r="A554" s="11"/>
      <c r="B554" s="11"/>
      <c r="C554" s="11"/>
      <c r="D554" s="11"/>
      <c r="E554" s="233"/>
      <c r="F554" s="234" t="s">
        <v>91</v>
      </c>
      <c r="G554" s="234"/>
      <c r="H554" s="233"/>
      <c r="I554" s="11"/>
      <c r="J554" s="51" t="s">
        <v>93</v>
      </c>
      <c r="K554" s="51" t="s">
        <v>38</v>
      </c>
      <c r="L554" s="51"/>
      <c r="M554" s="51"/>
      <c r="N554" s="51"/>
      <c r="O554" s="51"/>
      <c r="P554" s="233"/>
      <c r="Q554" s="234" t="s">
        <v>91</v>
      </c>
      <c r="R554" s="234"/>
      <c r="S554" s="233"/>
      <c r="T554" s="11"/>
      <c r="U554" s="51" t="s">
        <v>79</v>
      </c>
      <c r="V554" s="233"/>
      <c r="W554" s="233"/>
      <c r="X554" s="235">
        <f>(AG473+AM473)*1000</f>
        <v>2400</v>
      </c>
      <c r="Y554" s="234"/>
      <c r="Z554" s="234"/>
      <c r="AA554" s="233"/>
      <c r="AB554" s="233"/>
      <c r="AC554" s="233"/>
      <c r="AD554" s="233"/>
      <c r="AE554" s="51" t="s">
        <v>79</v>
      </c>
      <c r="AF554" s="219">
        <f>X554/(V555*Y555*AC555)</f>
        <v>5</v>
      </c>
      <c r="AG554" s="219"/>
      <c r="AH554" s="219"/>
      <c r="AI554" s="51" t="s">
        <v>71</v>
      </c>
      <c r="AJ554" s="51"/>
      <c r="AK554" s="11"/>
      <c r="AL554" s="11"/>
      <c r="AM554" s="11"/>
      <c r="AN554" s="11"/>
      <c r="AO554" s="11"/>
      <c r="AP554" s="11"/>
      <c r="AQ554" s="11"/>
      <c r="AR554" s="11"/>
      <c r="AS554" s="11"/>
    </row>
    <row r="555" spans="1:45" ht="18" customHeight="1">
      <c r="A555" s="11"/>
      <c r="B555" s="11"/>
      <c r="C555" s="11"/>
      <c r="D555" s="11"/>
      <c r="E555" s="236">
        <f>P552</f>
        <v>46</v>
      </c>
      <c r="F555" s="237"/>
      <c r="G555" s="11" t="s">
        <v>92</v>
      </c>
      <c r="H555" s="11"/>
      <c r="I555" s="11"/>
      <c r="J555" s="51"/>
      <c r="K555" s="51"/>
      <c r="L555" s="51"/>
      <c r="M555" s="51"/>
      <c r="N555" s="51"/>
      <c r="O555" s="51"/>
      <c r="P555" s="236">
        <v>80</v>
      </c>
      <c r="Q555" s="237"/>
      <c r="R555" s="11" t="s">
        <v>92</v>
      </c>
      <c r="S555" s="11"/>
      <c r="T555" s="11"/>
      <c r="U555" s="51"/>
      <c r="V555" s="236">
        <f>P555</f>
        <v>80</v>
      </c>
      <c r="W555" s="237"/>
      <c r="X555" s="11" t="s">
        <v>83</v>
      </c>
      <c r="Y555" s="237">
        <f>AF538</f>
        <v>1</v>
      </c>
      <c r="Z555" s="237"/>
      <c r="AA555" s="237"/>
      <c r="AB555" s="11" t="s">
        <v>83</v>
      </c>
      <c r="AC555" s="236">
        <f>C498+1</f>
        <v>6</v>
      </c>
      <c r="AD555" s="237"/>
      <c r="AE555" s="51"/>
      <c r="AF555" s="219"/>
      <c r="AG555" s="219"/>
      <c r="AH555" s="219"/>
      <c r="AI555" s="51"/>
      <c r="AJ555" s="51"/>
      <c r="AK555" s="11"/>
      <c r="AL555" s="11"/>
      <c r="AM555" s="11"/>
      <c r="AN555" s="11"/>
      <c r="AO555" s="11"/>
      <c r="AP555" s="11"/>
      <c r="AQ555" s="11"/>
      <c r="AR555" s="11"/>
      <c r="AS555" s="11"/>
    </row>
    <row r="556" spans="1:45" ht="18" customHeight="1">
      <c r="A556" s="11"/>
      <c r="B556" s="11"/>
      <c r="C556" s="11"/>
      <c r="D556" s="11"/>
      <c r="E556" s="11"/>
      <c r="F556" s="11"/>
      <c r="G556" s="11" t="s">
        <v>25</v>
      </c>
      <c r="H556" s="11"/>
      <c r="I556" s="11"/>
      <c r="J556" s="11"/>
      <c r="K556" s="11"/>
      <c r="L556" s="11"/>
      <c r="M556" s="11"/>
      <c r="N556" s="220">
        <f>210000</f>
        <v>210000</v>
      </c>
      <c r="O556" s="220"/>
      <c r="P556" s="220"/>
      <c r="Q556" s="220"/>
      <c r="R556" s="11" t="s">
        <v>83</v>
      </c>
      <c r="S556" s="11" t="s">
        <v>95</v>
      </c>
      <c r="T556" s="11"/>
      <c r="U556" s="11"/>
      <c r="V556" s="11"/>
      <c r="W556" s="11"/>
      <c r="X556" s="11"/>
      <c r="Y556" s="11"/>
      <c r="Z556" s="11" t="s">
        <v>79</v>
      </c>
      <c r="AA556" s="51">
        <f>N556*(AG479*1000*Y555*AC555/X554)^2</f>
        <v>578.8124999999999</v>
      </c>
      <c r="AB556" s="51"/>
      <c r="AC556" s="51"/>
      <c r="AD556" s="51"/>
      <c r="AE556" s="11"/>
      <c r="AF556" s="11" t="s">
        <v>28</v>
      </c>
      <c r="AG556" s="11"/>
      <c r="AH556" s="11"/>
      <c r="AI556" s="11"/>
      <c r="AJ556" s="11"/>
      <c r="AK556" s="11"/>
      <c r="AL556" s="11"/>
      <c r="AM556" s="11"/>
      <c r="AN556" s="11"/>
      <c r="AO556" s="11"/>
      <c r="AP556" s="11"/>
      <c r="AQ556" s="11"/>
      <c r="AR556" s="11"/>
      <c r="AS556" s="11"/>
    </row>
    <row r="557" spans="1:45" ht="18" customHeight="1">
      <c r="A557" s="11"/>
      <c r="B557" s="11"/>
      <c r="C557" s="11"/>
      <c r="D557" s="11"/>
      <c r="E557" s="11" t="s">
        <v>26</v>
      </c>
      <c r="F557" s="11"/>
      <c r="G557" s="11"/>
      <c r="H557" s="11"/>
      <c r="I557" s="11"/>
      <c r="J557" s="219">
        <f>AG479*1000</f>
        <v>21</v>
      </c>
      <c r="K557" s="219"/>
      <c r="L557" s="219"/>
      <c r="M557" s="10" t="s">
        <v>145</v>
      </c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11"/>
      <c r="AN557" s="11"/>
      <c r="AO557" s="11"/>
      <c r="AP557" s="11"/>
      <c r="AQ557" s="11"/>
      <c r="AR557" s="11"/>
      <c r="AS557" s="11"/>
    </row>
    <row r="558" spans="1:45" ht="18" customHeight="1">
      <c r="A558" s="11"/>
      <c r="B558" s="11"/>
      <c r="C558" s="11"/>
      <c r="D558" s="11"/>
      <c r="E558" s="11" t="s">
        <v>27</v>
      </c>
      <c r="F558" s="11"/>
      <c r="G558" s="11"/>
      <c r="H558" s="11"/>
      <c r="I558" s="11"/>
      <c r="J558" s="11"/>
      <c r="K558" s="11"/>
      <c r="L558" s="51">
        <f>IF(J557&gt;=AC548,O550,IF(J557&gt;=AF551,AF553,IF(J557&gt;=AF554,AA556,"확인 요망")))</f>
        <v>210</v>
      </c>
      <c r="M558" s="51"/>
      <c r="N558" s="51"/>
      <c r="O558" s="51"/>
      <c r="P558" s="11" t="s">
        <v>28</v>
      </c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11"/>
      <c r="AN558" s="11"/>
      <c r="AO558" s="11"/>
      <c r="AP558" s="11"/>
      <c r="AQ558" s="11"/>
      <c r="AR558" s="11"/>
      <c r="AS558" s="11"/>
    </row>
    <row r="559" spans="1:45" ht="18" customHeight="1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11"/>
      <c r="AN559" s="11"/>
      <c r="AO559" s="11"/>
      <c r="AP559" s="11"/>
      <c r="AQ559" s="11"/>
      <c r="AR559" s="11"/>
      <c r="AS559" s="11"/>
    </row>
    <row r="560" spans="1:45" ht="18" customHeight="1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11"/>
      <c r="AN560" s="11"/>
      <c r="AO560" s="11"/>
      <c r="AP560" s="11"/>
      <c r="AQ560" s="11"/>
      <c r="AR560" s="11"/>
      <c r="AS560" s="11"/>
    </row>
    <row r="561" spans="1:46" ht="18" customHeight="1">
      <c r="A561" s="11"/>
      <c r="B561" s="11"/>
      <c r="C561" s="239" t="s">
        <v>42</v>
      </c>
      <c r="D561" s="240"/>
      <c r="E561" s="240"/>
      <c r="F561" s="240"/>
      <c r="G561" s="240"/>
      <c r="H561" s="239" t="s">
        <v>43</v>
      </c>
      <c r="I561" s="240"/>
      <c r="J561" s="240"/>
      <c r="K561" s="240"/>
      <c r="L561" s="240"/>
      <c r="M561" s="240"/>
      <c r="N561" s="240"/>
      <c r="O561" s="240"/>
      <c r="P561" s="240"/>
      <c r="Q561" s="240"/>
      <c r="R561" s="240"/>
      <c r="S561" s="240"/>
      <c r="T561" s="240"/>
      <c r="U561" s="240"/>
      <c r="V561" s="240"/>
      <c r="W561" s="240"/>
      <c r="X561" s="240"/>
      <c r="Y561" s="240"/>
      <c r="Z561" s="240"/>
      <c r="AA561" s="240"/>
      <c r="AB561" s="240" t="s">
        <v>96</v>
      </c>
      <c r="AC561" s="240"/>
      <c r="AD561" s="240"/>
      <c r="AE561" s="240"/>
      <c r="AF561" s="240"/>
      <c r="AG561" s="240"/>
      <c r="AH561" s="240"/>
      <c r="AI561" s="240"/>
      <c r="AJ561" s="241" t="s">
        <v>44</v>
      </c>
      <c r="AK561" s="242"/>
      <c r="AL561" s="242"/>
      <c r="AM561" s="242"/>
      <c r="AN561" s="242"/>
      <c r="AO561" s="242"/>
      <c r="AP561" s="242"/>
      <c r="AQ561" s="242"/>
      <c r="AR561" s="243"/>
      <c r="AS561" s="243"/>
      <c r="AT561" s="232"/>
    </row>
    <row r="562" spans="1:46" ht="18" customHeight="1">
      <c r="A562" s="11"/>
      <c r="B562" s="11"/>
      <c r="C562" s="240"/>
      <c r="D562" s="240"/>
      <c r="E562" s="240"/>
      <c r="F562" s="240"/>
      <c r="G562" s="240"/>
      <c r="H562" s="239" t="s">
        <v>40</v>
      </c>
      <c r="I562" s="240"/>
      <c r="J562" s="240"/>
      <c r="K562" s="240"/>
      <c r="L562" s="240"/>
      <c r="M562" s="240"/>
      <c r="N562" s="240"/>
      <c r="O562" s="240"/>
      <c r="P562" s="240"/>
      <c r="Q562" s="240"/>
      <c r="R562" s="239" t="s">
        <v>41</v>
      </c>
      <c r="S562" s="240"/>
      <c r="T562" s="240"/>
      <c r="U562" s="240"/>
      <c r="V562" s="240"/>
      <c r="W562" s="240"/>
      <c r="X562" s="240"/>
      <c r="Y562" s="240"/>
      <c r="Z562" s="240"/>
      <c r="AA562" s="240"/>
      <c r="AB562" s="240"/>
      <c r="AC562" s="240"/>
      <c r="AD562" s="240"/>
      <c r="AE562" s="240"/>
      <c r="AF562" s="240"/>
      <c r="AG562" s="240"/>
      <c r="AH562" s="240"/>
      <c r="AI562" s="240"/>
      <c r="AJ562" s="241" t="s">
        <v>45</v>
      </c>
      <c r="AK562" s="242"/>
      <c r="AL562" s="242"/>
      <c r="AM562" s="242"/>
      <c r="AN562" s="242"/>
      <c r="AO562" s="242"/>
      <c r="AP562" s="242"/>
      <c r="AQ562" s="242"/>
      <c r="AR562" s="243"/>
      <c r="AS562" s="243"/>
      <c r="AT562" s="232"/>
    </row>
    <row r="563" spans="1:46" ht="18" customHeight="1">
      <c r="A563" s="11"/>
      <c r="B563" s="11"/>
      <c r="C563" s="240"/>
      <c r="D563" s="240"/>
      <c r="E563" s="240"/>
      <c r="F563" s="240"/>
      <c r="G563" s="240"/>
      <c r="H563" s="244" t="s">
        <v>46</v>
      </c>
      <c r="I563" s="182"/>
      <c r="J563" s="182"/>
      <c r="K563" s="182"/>
      <c r="L563" s="184"/>
      <c r="M563" s="244" t="s">
        <v>47</v>
      </c>
      <c r="N563" s="182"/>
      <c r="O563" s="182"/>
      <c r="P563" s="182"/>
      <c r="Q563" s="184"/>
      <c r="R563" s="244" t="s">
        <v>46</v>
      </c>
      <c r="S563" s="182"/>
      <c r="T563" s="182"/>
      <c r="U563" s="182"/>
      <c r="V563" s="184"/>
      <c r="W563" s="244" t="s">
        <v>47</v>
      </c>
      <c r="X563" s="182"/>
      <c r="Y563" s="182"/>
      <c r="Z563" s="182"/>
      <c r="AA563" s="184"/>
      <c r="AB563" s="239" t="s">
        <v>46</v>
      </c>
      <c r="AC563" s="240"/>
      <c r="AD563" s="240"/>
      <c r="AE563" s="240"/>
      <c r="AF563" s="239" t="s">
        <v>47</v>
      </c>
      <c r="AG563" s="240"/>
      <c r="AH563" s="240"/>
      <c r="AI563" s="240"/>
      <c r="AJ563" s="241" t="s">
        <v>46</v>
      </c>
      <c r="AK563" s="242"/>
      <c r="AL563" s="242"/>
      <c r="AM563" s="242"/>
      <c r="AN563" s="241" t="s">
        <v>47</v>
      </c>
      <c r="AO563" s="242"/>
      <c r="AP563" s="242"/>
      <c r="AQ563" s="242"/>
      <c r="AR563" s="243"/>
      <c r="AS563" s="243"/>
      <c r="AT563" s="232"/>
    </row>
    <row r="564" spans="1:46" ht="18" customHeight="1">
      <c r="A564" s="11"/>
      <c r="B564" s="11"/>
      <c r="C564" s="245">
        <v>1</v>
      </c>
      <c r="D564" s="245"/>
      <c r="E564" s="245"/>
      <c r="F564" s="245"/>
      <c r="G564" s="245"/>
      <c r="H564" s="240">
        <f>M524</f>
        <v>-20.959327888988547</v>
      </c>
      <c r="I564" s="240"/>
      <c r="J564" s="240"/>
      <c r="K564" s="240"/>
      <c r="L564" s="240"/>
      <c r="M564" s="240">
        <f>M525</f>
        <v>24.141786605000377</v>
      </c>
      <c r="N564" s="240"/>
      <c r="O564" s="240"/>
      <c r="P564" s="240"/>
      <c r="Q564" s="240"/>
      <c r="R564" s="240">
        <f>IF(H564&gt;=0,H546,L558)</f>
        <v>210</v>
      </c>
      <c r="S564" s="240"/>
      <c r="T564" s="240"/>
      <c r="U564" s="240"/>
      <c r="V564" s="240"/>
      <c r="W564" s="240">
        <f>IF(M564&gt;=0,H546,L558)</f>
        <v>210</v>
      </c>
      <c r="X564" s="240"/>
      <c r="Y564" s="240"/>
      <c r="Z564" s="240"/>
      <c r="AA564" s="240"/>
      <c r="AB564" s="240">
        <f>(H564/R564)^2</f>
        <v>0.009961302166851089</v>
      </c>
      <c r="AC564" s="240"/>
      <c r="AD564" s="240"/>
      <c r="AE564" s="240"/>
      <c r="AF564" s="240">
        <f>(M564/W564)^2</f>
        <v>0.013216005906607155</v>
      </c>
      <c r="AG564" s="240"/>
      <c r="AH564" s="240"/>
      <c r="AI564" s="240"/>
      <c r="AJ564" s="242">
        <f>(H564/R564)^2+(S526/AJ534)^2</f>
        <v>0.014177519052704951</v>
      </c>
      <c r="AK564" s="242"/>
      <c r="AL564" s="242"/>
      <c r="AM564" s="242"/>
      <c r="AN564" s="242">
        <f>(M564/W564)^2+(S526/AJ534)^2</f>
        <v>0.017432222792461018</v>
      </c>
      <c r="AO564" s="242"/>
      <c r="AP564" s="242"/>
      <c r="AQ564" s="242"/>
      <c r="AR564" s="243"/>
      <c r="AS564" s="243"/>
      <c r="AT564" s="232"/>
    </row>
    <row r="565" spans="1:46" ht="18" customHeight="1">
      <c r="A565" s="11"/>
      <c r="B565" s="11"/>
      <c r="C565" s="245" t="s">
        <v>61</v>
      </c>
      <c r="D565" s="245"/>
      <c r="E565" s="245"/>
      <c r="F565" s="245"/>
      <c r="G565" s="245"/>
      <c r="H565" s="240">
        <f>M524+N529</f>
        <v>-40.608154561929965</v>
      </c>
      <c r="I565" s="240"/>
      <c r="J565" s="240"/>
      <c r="K565" s="240"/>
      <c r="L565" s="240"/>
      <c r="M565" s="240">
        <f>M525+N530</f>
        <v>46.77408584137072</v>
      </c>
      <c r="N565" s="240"/>
      <c r="O565" s="240"/>
      <c r="P565" s="240"/>
      <c r="Q565" s="240"/>
      <c r="R565" s="240">
        <f>R564</f>
        <v>210</v>
      </c>
      <c r="S565" s="240"/>
      <c r="T565" s="240"/>
      <c r="U565" s="240"/>
      <c r="V565" s="240"/>
      <c r="W565" s="240">
        <f>W564</f>
        <v>210</v>
      </c>
      <c r="X565" s="240"/>
      <c r="Y565" s="240"/>
      <c r="Z565" s="240"/>
      <c r="AA565" s="240"/>
      <c r="AB565" s="240">
        <f>(H565/R565)^2</f>
        <v>0.03739279403459395</v>
      </c>
      <c r="AC565" s="240"/>
      <c r="AD565" s="240"/>
      <c r="AE565" s="240"/>
      <c r="AF565" s="240">
        <f>(M565/W565)^2</f>
        <v>0.04961031987065571</v>
      </c>
      <c r="AG565" s="240"/>
      <c r="AH565" s="240"/>
      <c r="AI565" s="240"/>
      <c r="AJ565" s="242">
        <f>(H565/R565)^2+(Z534/AJ534)^2</f>
        <v>0.05465225113016729</v>
      </c>
      <c r="AK565" s="242"/>
      <c r="AL565" s="242"/>
      <c r="AM565" s="242"/>
      <c r="AN565" s="242">
        <f>(M565/W565)^2+(Z534/AJ534)^2</f>
        <v>0.06686977696622905</v>
      </c>
      <c r="AO565" s="242"/>
      <c r="AP565" s="242"/>
      <c r="AQ565" s="242"/>
      <c r="AR565" s="243"/>
      <c r="AS565" s="243"/>
      <c r="AT565" s="232"/>
    </row>
    <row r="566" spans="1:45" ht="18" customHeight="1">
      <c r="A566" s="11"/>
      <c r="B566" s="11"/>
      <c r="C566" s="11" t="s">
        <v>48</v>
      </c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227"/>
      <c r="AA566" s="11"/>
      <c r="AB566" s="11"/>
      <c r="AC566" s="11"/>
      <c r="AD566" s="11"/>
      <c r="AE566" s="11"/>
      <c r="AF566" s="11"/>
      <c r="AG566" s="11"/>
      <c r="AH566" s="11"/>
      <c r="AI566" s="11"/>
      <c r="AJ566" s="11"/>
      <c r="AK566" s="11"/>
      <c r="AL566" s="11"/>
      <c r="AM566" s="11"/>
      <c r="AN566" s="11"/>
      <c r="AO566" s="11"/>
      <c r="AP566" s="11"/>
      <c r="AQ566" s="11"/>
      <c r="AR566" s="11"/>
      <c r="AS566" s="11"/>
    </row>
    <row r="567" spans="1:45" ht="18" customHeight="1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  <c r="AI567" s="11"/>
      <c r="AJ567" s="11"/>
      <c r="AK567" s="11"/>
      <c r="AL567" s="11"/>
      <c r="AM567" s="11"/>
      <c r="AN567" s="11"/>
      <c r="AO567" s="11"/>
      <c r="AP567" s="11"/>
      <c r="AQ567" s="11"/>
      <c r="AR567" s="11"/>
      <c r="AS567" s="11"/>
    </row>
    <row r="568" spans="1:45" ht="18" customHeight="1">
      <c r="A568" s="11"/>
      <c r="B568" s="11" t="s">
        <v>62</v>
      </c>
      <c r="C568" s="11"/>
      <c r="D568" s="11"/>
      <c r="E568" s="11"/>
      <c r="F568" s="11"/>
      <c r="G568" s="11"/>
      <c r="H568" s="11"/>
      <c r="I568" s="11"/>
      <c r="J568" s="11"/>
      <c r="K568" s="227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  <c r="AI568" s="11"/>
      <c r="AJ568" s="11"/>
      <c r="AK568" s="11"/>
      <c r="AL568" s="11"/>
      <c r="AM568" s="11"/>
      <c r="AN568" s="11"/>
      <c r="AO568" s="11"/>
      <c r="AP568" s="11"/>
      <c r="AQ568" s="11"/>
      <c r="AR568" s="11"/>
      <c r="AS568" s="11"/>
    </row>
    <row r="569" spans="1:45" ht="18" customHeight="1">
      <c r="A569" s="11"/>
      <c r="B569" s="11"/>
      <c r="C569" s="11"/>
      <c r="D569" s="11"/>
      <c r="E569" s="11" t="s">
        <v>49</v>
      </c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  <c r="AH569" s="11"/>
      <c r="AI569" s="11"/>
      <c r="AJ569" s="11"/>
      <c r="AK569" s="11"/>
      <c r="AL569" s="11"/>
      <c r="AM569" s="11"/>
      <c r="AN569" s="11"/>
      <c r="AO569" s="11"/>
      <c r="AP569" s="11"/>
      <c r="AQ569" s="11"/>
      <c r="AR569" s="11"/>
      <c r="AS569" s="11"/>
    </row>
    <row r="570" spans="1:45" ht="18" customHeight="1">
      <c r="A570" s="11"/>
      <c r="B570" s="11"/>
      <c r="C570" s="11"/>
      <c r="D570" s="11"/>
      <c r="E570" s="11"/>
      <c r="F570" s="302" t="s">
        <v>85</v>
      </c>
      <c r="G570" s="234" t="s">
        <v>97</v>
      </c>
      <c r="H570" s="234"/>
      <c r="I570" s="303">
        <v>0</v>
      </c>
      <c r="J570" s="51"/>
      <c r="K570" s="51"/>
      <c r="L570" s="51"/>
      <c r="M570" s="234" t="s">
        <v>98</v>
      </c>
      <c r="N570" s="234"/>
      <c r="O570" s="304">
        <v>0</v>
      </c>
      <c r="P570" s="51"/>
      <c r="Q570" s="51" t="s">
        <v>79</v>
      </c>
      <c r="R570" s="305" t="s">
        <v>85</v>
      </c>
      <c r="S570" s="234">
        <f>IF(AB564=R572,H564,IF(AB565=R572,H565,"ERROR"))</f>
        <v>-40.608154561929965</v>
      </c>
      <c r="T570" s="234"/>
      <c r="U570" s="234"/>
      <c r="V570" s="234"/>
      <c r="W570" s="234"/>
      <c r="X570" s="306">
        <v>0</v>
      </c>
      <c r="Y570" s="51"/>
      <c r="Z570" s="51" t="s">
        <v>78</v>
      </c>
      <c r="AA570" s="307" t="s">
        <v>85</v>
      </c>
      <c r="AB570" s="234">
        <f>Z534</f>
        <v>15.765030357606552</v>
      </c>
      <c r="AC570" s="234"/>
      <c r="AD570" s="234"/>
      <c r="AE570" s="234"/>
      <c r="AF570" s="234"/>
      <c r="AG570" s="308">
        <v>0</v>
      </c>
      <c r="AH570" s="51"/>
      <c r="AI570" s="11"/>
      <c r="AJ570" s="11"/>
      <c r="AK570" s="11"/>
      <c r="AL570" s="11"/>
      <c r="AM570" s="11"/>
      <c r="AN570" s="11"/>
      <c r="AO570" s="11"/>
      <c r="AP570" s="11"/>
      <c r="AQ570" s="11"/>
      <c r="AR570" s="11"/>
      <c r="AS570" s="11"/>
    </row>
    <row r="571" spans="1:45" ht="18" customHeight="1">
      <c r="A571" s="11"/>
      <c r="B571" s="11"/>
      <c r="C571" s="11"/>
      <c r="D571" s="11"/>
      <c r="E571" s="11"/>
      <c r="F571" s="51"/>
      <c r="G571" s="237" t="s">
        <v>99</v>
      </c>
      <c r="H571" s="237"/>
      <c r="I571" s="51"/>
      <c r="J571" s="51"/>
      <c r="K571" s="51"/>
      <c r="L571" s="51"/>
      <c r="M571" s="237" t="s">
        <v>100</v>
      </c>
      <c r="N571" s="237"/>
      <c r="O571" s="51"/>
      <c r="P571" s="51"/>
      <c r="Q571" s="51"/>
      <c r="R571" s="51"/>
      <c r="S571" s="237">
        <f>IF(AB564=R572,R564,IF(AB565=R572,R565,"ERROR"))</f>
        <v>210</v>
      </c>
      <c r="T571" s="237"/>
      <c r="U571" s="237"/>
      <c r="V571" s="237"/>
      <c r="W571" s="237"/>
      <c r="X571" s="51"/>
      <c r="Y571" s="51"/>
      <c r="Z571" s="51"/>
      <c r="AA571" s="51"/>
      <c r="AB571" s="237">
        <f>AJ534</f>
        <v>120</v>
      </c>
      <c r="AC571" s="237"/>
      <c r="AD571" s="237"/>
      <c r="AE571" s="237"/>
      <c r="AF571" s="237"/>
      <c r="AG571" s="51"/>
      <c r="AH571" s="51"/>
      <c r="AI571" s="11"/>
      <c r="AJ571" s="11"/>
      <c r="AK571" s="11"/>
      <c r="AL571" s="11"/>
      <c r="AM571" s="11"/>
      <c r="AN571" s="11"/>
      <c r="AO571" s="11"/>
      <c r="AP571" s="11"/>
      <c r="AQ571" s="11"/>
      <c r="AR571" s="11"/>
      <c r="AS571" s="11"/>
    </row>
    <row r="572" spans="1:45" ht="18" customHeight="1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 t="s">
        <v>79</v>
      </c>
      <c r="R572" s="51">
        <f>MAX(AB564:AB565)</f>
        <v>0.03739279403459395</v>
      </c>
      <c r="S572" s="51"/>
      <c r="T572" s="51"/>
      <c r="U572" s="51"/>
      <c r="V572" s="11" t="s">
        <v>78</v>
      </c>
      <c r="W572" s="51">
        <f>(Z534/AJ534)^2</f>
        <v>0.017259457095573343</v>
      </c>
      <c r="X572" s="51"/>
      <c r="Y572" s="51"/>
      <c r="Z572" s="51"/>
      <c r="AA572" s="11" t="s">
        <v>79</v>
      </c>
      <c r="AB572" s="51">
        <f>R572+W572</f>
        <v>0.05465225113016729</v>
      </c>
      <c r="AC572" s="51"/>
      <c r="AD572" s="51"/>
      <c r="AE572" s="51"/>
      <c r="AF572" s="11"/>
      <c r="AG572" s="11" t="str">
        <f>IF(AB572&gt;AI572,"＞","＜")</f>
        <v>＜</v>
      </c>
      <c r="AH572" s="11"/>
      <c r="AI572" s="219">
        <v>1.2</v>
      </c>
      <c r="AJ572" s="51"/>
      <c r="AK572" s="51"/>
      <c r="AL572" s="11"/>
      <c r="AM572" s="11" t="str">
        <f>IF(AB572&lt;AI572,"O.K.","N.G.")</f>
        <v>O.K.</v>
      </c>
      <c r="AN572" s="11"/>
      <c r="AO572" s="11"/>
      <c r="AP572" s="11"/>
      <c r="AQ572" s="11"/>
      <c r="AR572" s="11"/>
      <c r="AS572" s="11"/>
    </row>
    <row r="573" spans="1:45" ht="18" customHeight="1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  <c r="AH573" s="11"/>
      <c r="AI573" s="11"/>
      <c r="AJ573" s="11"/>
      <c r="AK573" s="11"/>
      <c r="AL573" s="11"/>
      <c r="AM573" s="11"/>
      <c r="AN573" s="11"/>
      <c r="AO573" s="11"/>
      <c r="AP573" s="11"/>
      <c r="AQ573" s="11"/>
      <c r="AR573" s="11"/>
      <c r="AS573" s="11"/>
    </row>
    <row r="574" spans="1:45" ht="18" customHeight="1">
      <c r="A574" s="11"/>
      <c r="B574" s="11"/>
      <c r="C574" s="11"/>
      <c r="D574" s="11"/>
      <c r="E574" s="11" t="s">
        <v>50</v>
      </c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  <c r="AI574" s="11"/>
      <c r="AJ574" s="11"/>
      <c r="AK574" s="11"/>
      <c r="AL574" s="11"/>
      <c r="AM574" s="11"/>
      <c r="AN574" s="11"/>
      <c r="AO574" s="11"/>
      <c r="AP574" s="11"/>
      <c r="AQ574" s="11"/>
      <c r="AR574" s="11"/>
      <c r="AS574" s="11"/>
    </row>
    <row r="575" spans="1:45" ht="18" customHeight="1">
      <c r="A575" s="11"/>
      <c r="B575" s="11"/>
      <c r="C575" s="11"/>
      <c r="D575" s="11"/>
      <c r="E575" s="11"/>
      <c r="F575" s="309" t="s">
        <v>85</v>
      </c>
      <c r="G575" s="234" t="s">
        <v>97</v>
      </c>
      <c r="H575" s="234"/>
      <c r="I575" s="310">
        <v>0</v>
      </c>
      <c r="J575" s="51"/>
      <c r="K575" s="51"/>
      <c r="L575" s="51"/>
      <c r="M575" s="234" t="s">
        <v>98</v>
      </c>
      <c r="N575" s="234"/>
      <c r="O575" s="311">
        <v>0</v>
      </c>
      <c r="P575" s="51"/>
      <c r="Q575" s="51" t="s">
        <v>79</v>
      </c>
      <c r="R575" s="312" t="s">
        <v>85</v>
      </c>
      <c r="S575" s="234">
        <f>IF(AF564=R577,M564,IF(AF565=R577,M565,"ERROR"))</f>
        <v>46.77408584137072</v>
      </c>
      <c r="T575" s="234"/>
      <c r="U575" s="234"/>
      <c r="V575" s="234"/>
      <c r="W575" s="234"/>
      <c r="X575" s="313">
        <v>0</v>
      </c>
      <c r="Y575" s="51"/>
      <c r="Z575" s="51" t="s">
        <v>78</v>
      </c>
      <c r="AA575" s="314" t="s">
        <v>85</v>
      </c>
      <c r="AB575" s="234">
        <f>Z534</f>
        <v>15.765030357606552</v>
      </c>
      <c r="AC575" s="234"/>
      <c r="AD575" s="234"/>
      <c r="AE575" s="234"/>
      <c r="AF575" s="234"/>
      <c r="AG575" s="315">
        <v>0</v>
      </c>
      <c r="AH575" s="51"/>
      <c r="AI575" s="11"/>
      <c r="AJ575" s="11"/>
      <c r="AK575" s="11"/>
      <c r="AL575" s="11"/>
      <c r="AM575" s="11"/>
      <c r="AN575" s="11"/>
      <c r="AO575" s="11"/>
      <c r="AP575" s="11"/>
      <c r="AQ575" s="11"/>
      <c r="AR575" s="11"/>
      <c r="AS575" s="11"/>
    </row>
    <row r="576" spans="1:45" ht="18" customHeight="1">
      <c r="A576" s="11"/>
      <c r="B576" s="11"/>
      <c r="C576" s="11"/>
      <c r="D576" s="11"/>
      <c r="E576" s="11"/>
      <c r="F576" s="51"/>
      <c r="G576" s="237" t="s">
        <v>99</v>
      </c>
      <c r="H576" s="237"/>
      <c r="I576" s="51"/>
      <c r="J576" s="51"/>
      <c r="K576" s="51"/>
      <c r="L576" s="51"/>
      <c r="M576" s="237" t="s">
        <v>100</v>
      </c>
      <c r="N576" s="237"/>
      <c r="O576" s="51"/>
      <c r="P576" s="51"/>
      <c r="Q576" s="51"/>
      <c r="R576" s="51"/>
      <c r="S576" s="237">
        <f>IF(AF564=R577,W564,IF(AF565=R577,W565,"ERROR"))</f>
        <v>210</v>
      </c>
      <c r="T576" s="237"/>
      <c r="U576" s="237"/>
      <c r="V576" s="237"/>
      <c r="W576" s="237"/>
      <c r="X576" s="51"/>
      <c r="Y576" s="51"/>
      <c r="Z576" s="51"/>
      <c r="AA576" s="51"/>
      <c r="AB576" s="237">
        <f>AJ534</f>
        <v>120</v>
      </c>
      <c r="AC576" s="237"/>
      <c r="AD576" s="237"/>
      <c r="AE576" s="237"/>
      <c r="AF576" s="237"/>
      <c r="AG576" s="51"/>
      <c r="AH576" s="51"/>
      <c r="AI576" s="11"/>
      <c r="AJ576" s="11"/>
      <c r="AK576" s="11"/>
      <c r="AL576" s="11"/>
      <c r="AM576" s="11"/>
      <c r="AN576" s="11"/>
      <c r="AO576" s="11"/>
      <c r="AP576" s="11"/>
      <c r="AQ576" s="11"/>
      <c r="AR576" s="11"/>
      <c r="AS576" s="11"/>
    </row>
    <row r="577" spans="1:45" ht="18" customHeight="1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 t="s">
        <v>79</v>
      </c>
      <c r="R577" s="51">
        <f>MAX(AF564:AF565)</f>
        <v>0.04961031987065571</v>
      </c>
      <c r="S577" s="51"/>
      <c r="T577" s="51"/>
      <c r="U577" s="51"/>
      <c r="V577" s="11" t="s">
        <v>78</v>
      </c>
      <c r="W577" s="51">
        <f>(Z534/AJ534)^2</f>
        <v>0.017259457095573343</v>
      </c>
      <c r="X577" s="51"/>
      <c r="Y577" s="51"/>
      <c r="Z577" s="51"/>
      <c r="AA577" s="11" t="s">
        <v>79</v>
      </c>
      <c r="AB577" s="51">
        <f>R577+W577</f>
        <v>0.06686977696622905</v>
      </c>
      <c r="AC577" s="51"/>
      <c r="AD577" s="51"/>
      <c r="AE577" s="51"/>
      <c r="AF577" s="11"/>
      <c r="AG577" s="11" t="str">
        <f>IF(AB577&gt;AI577,"＞","＜")</f>
        <v>＜</v>
      </c>
      <c r="AH577" s="11"/>
      <c r="AI577" s="219">
        <v>1.2</v>
      </c>
      <c r="AJ577" s="51"/>
      <c r="AK577" s="51"/>
      <c r="AL577" s="11"/>
      <c r="AM577" s="11" t="str">
        <f>IF(AB577&lt;AI577,"O.K.","N.G.")</f>
        <v>O.K.</v>
      </c>
      <c r="AN577" s="11"/>
      <c r="AO577" s="11"/>
      <c r="AP577" s="11"/>
      <c r="AQ577" s="11"/>
      <c r="AR577" s="11"/>
      <c r="AS577" s="11"/>
    </row>
    <row r="579" spans="21:31" ht="18" customHeight="1"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</row>
    <row r="586" spans="2:25" s="53" customFormat="1" ht="18" customHeight="1">
      <c r="B586" s="54" t="s">
        <v>278</v>
      </c>
      <c r="E586" s="55">
        <v>6</v>
      </c>
      <c r="F586" s="55"/>
      <c r="G586" s="53" t="s">
        <v>63</v>
      </c>
      <c r="K586" s="53" t="s">
        <v>109</v>
      </c>
      <c r="M586" s="55">
        <v>28</v>
      </c>
      <c r="N586" s="55"/>
      <c r="O586" s="53" t="s">
        <v>64</v>
      </c>
      <c r="V586" s="56">
        <v>0.624</v>
      </c>
      <c r="W586" s="56"/>
      <c r="X586" s="56"/>
      <c r="Y586" s="53" t="s">
        <v>65</v>
      </c>
    </row>
    <row r="587" spans="1:70" ht="18" customHeight="1">
      <c r="A587" s="163" t="s">
        <v>110</v>
      </c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 t="s">
        <v>111</v>
      </c>
      <c r="AA587" s="11"/>
      <c r="AB587" s="11"/>
      <c r="AC587" s="11"/>
      <c r="AD587" s="11"/>
      <c r="AE587" s="11"/>
      <c r="AF587" s="11"/>
      <c r="AG587" s="58" t="s">
        <v>11</v>
      </c>
      <c r="AH587" s="59"/>
      <c r="AI587" s="59"/>
      <c r="AJ587" s="59"/>
      <c r="AK587" s="60" t="s">
        <v>171</v>
      </c>
      <c r="AL587" s="11"/>
      <c r="AM587" s="11"/>
      <c r="AN587" s="11"/>
      <c r="AO587" s="11"/>
      <c r="AP587" s="11"/>
      <c r="AQ587" s="11"/>
      <c r="AT587" s="11"/>
      <c r="AU587" s="11"/>
      <c r="AV587" s="11"/>
      <c r="AW587" s="11"/>
      <c r="AX587" s="164"/>
      <c r="AY587" s="164"/>
      <c r="AZ587" s="165"/>
      <c r="BA587" s="165"/>
      <c r="BB587" s="165"/>
      <c r="BC587" s="165"/>
      <c r="BD587" s="165"/>
      <c r="BM587" s="165"/>
      <c r="BN587" s="165"/>
      <c r="BO587" s="165"/>
      <c r="BP587" s="165"/>
      <c r="BQ587" s="165"/>
      <c r="BR587" s="165"/>
    </row>
    <row r="588" spans="1:70" ht="18" customHeight="1">
      <c r="A588" s="11"/>
      <c r="B588" s="11"/>
      <c r="C588" s="11"/>
      <c r="D588" s="11"/>
      <c r="E588" s="164"/>
      <c r="F588" s="164"/>
      <c r="G588" s="164"/>
      <c r="H588" s="164"/>
      <c r="I588" s="164"/>
      <c r="J588" s="164"/>
      <c r="K588" s="164"/>
      <c r="M588" s="165"/>
      <c r="N588" s="165"/>
      <c r="O588" s="165"/>
      <c r="P588" s="165"/>
      <c r="Q588" s="165"/>
      <c r="R588" s="165"/>
      <c r="S588" s="165"/>
      <c r="T588" s="164"/>
      <c r="U588" s="164"/>
      <c r="V588" s="164"/>
      <c r="W588" s="164"/>
      <c r="X588" s="164"/>
      <c r="Y588" s="164"/>
      <c r="Z588" s="11"/>
      <c r="AA588" s="11"/>
      <c r="AB588" s="11"/>
      <c r="AC588" s="11"/>
      <c r="AD588" s="11"/>
      <c r="AT588" s="11"/>
      <c r="AU588" s="11"/>
      <c r="AV588" s="11"/>
      <c r="AW588" s="11"/>
      <c r="AX588" s="164"/>
      <c r="AY588" s="164"/>
      <c r="AZ588" s="165"/>
      <c r="BA588" s="165"/>
      <c r="BB588" s="165"/>
      <c r="BC588" s="165"/>
      <c r="BD588" s="165"/>
      <c r="BM588" s="165"/>
      <c r="BN588" s="165"/>
      <c r="BO588" s="165"/>
      <c r="BP588" s="165"/>
      <c r="BQ588" s="165"/>
      <c r="BR588" s="165"/>
    </row>
    <row r="589" spans="1:51" ht="18" customHeight="1">
      <c r="A589" s="11"/>
      <c r="B589" s="11"/>
      <c r="C589" s="11"/>
      <c r="D589" s="11"/>
      <c r="E589" s="164"/>
      <c r="F589" s="164"/>
      <c r="G589" s="164"/>
      <c r="L589" s="165"/>
      <c r="M589" s="165"/>
      <c r="N589" s="165"/>
      <c r="O589" s="165"/>
      <c r="P589" s="165"/>
      <c r="Q589" s="165"/>
      <c r="R589" s="165"/>
      <c r="S589" s="165"/>
      <c r="W589" s="165"/>
      <c r="X589" s="164"/>
      <c r="Y589" s="164"/>
      <c r="Z589" s="11"/>
      <c r="AA589" s="11"/>
      <c r="AB589" s="11"/>
      <c r="AC589" s="11"/>
      <c r="AD589" s="11"/>
      <c r="AE589" s="163" t="s">
        <v>66</v>
      </c>
      <c r="AF589" s="11"/>
      <c r="AG589" s="58">
        <v>2.6</v>
      </c>
      <c r="AH589" s="58"/>
      <c r="AI589" s="58"/>
      <c r="AJ589" s="11" t="s">
        <v>65</v>
      </c>
      <c r="AK589" s="11"/>
      <c r="AL589" s="11"/>
      <c r="AM589" s="11"/>
      <c r="AN589" s="11"/>
      <c r="AO589" s="11"/>
      <c r="AP589" s="11"/>
      <c r="AQ589" s="11"/>
      <c r="AT589" s="11"/>
      <c r="AU589" s="11"/>
      <c r="AV589" s="11"/>
      <c r="AW589" s="11"/>
      <c r="AX589" s="164"/>
      <c r="AY589" s="11"/>
    </row>
    <row r="590" spans="1:51" ht="18" customHeight="1">
      <c r="A590" s="11"/>
      <c r="B590" s="11"/>
      <c r="C590" s="11"/>
      <c r="D590" s="11"/>
      <c r="E590" s="11"/>
      <c r="F590" s="11"/>
      <c r="G590" s="11"/>
      <c r="H590" s="165"/>
      <c r="I590" s="165"/>
      <c r="J590" s="165"/>
      <c r="K590" s="165"/>
      <c r="L590" s="165"/>
      <c r="M590" s="165"/>
      <c r="N590" s="165"/>
      <c r="O590" s="165"/>
      <c r="P590" s="165"/>
      <c r="Q590" s="165"/>
      <c r="R590" s="165"/>
      <c r="S590" s="165"/>
      <c r="T590" s="165"/>
      <c r="U590" s="165"/>
      <c r="V590" s="165"/>
      <c r="W590" s="11"/>
      <c r="X590" s="11"/>
      <c r="Y590" s="11"/>
      <c r="Z590" s="11"/>
      <c r="AA590" s="11"/>
      <c r="AB590" s="11"/>
      <c r="AC590" s="11"/>
      <c r="AD590" s="11"/>
      <c r="AE590" s="11" t="s">
        <v>112</v>
      </c>
      <c r="AF590" s="11"/>
      <c r="AG590" s="58">
        <v>1.2</v>
      </c>
      <c r="AH590" s="58"/>
      <c r="AI590" s="58"/>
      <c r="AJ590" s="11" t="s">
        <v>113</v>
      </c>
      <c r="AK590" s="11" t="s">
        <v>114</v>
      </c>
      <c r="AL590" s="11"/>
      <c r="AM590" s="58">
        <v>1.2</v>
      </c>
      <c r="AN590" s="58"/>
      <c r="AO590" s="58"/>
      <c r="AP590" s="11" t="s">
        <v>115</v>
      </c>
      <c r="AQ590" s="11"/>
      <c r="AT590" s="11"/>
      <c r="AU590" s="11"/>
      <c r="AV590" s="11"/>
      <c r="AW590" s="11"/>
      <c r="AX590" s="11"/>
      <c r="AY590" s="11"/>
    </row>
    <row r="591" spans="1:51" ht="18" customHeight="1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C591" s="11"/>
      <c r="AD591" s="11"/>
      <c r="AE591" s="11" t="s">
        <v>116</v>
      </c>
      <c r="AF591" s="11"/>
      <c r="AG591" s="58">
        <v>2.1</v>
      </c>
      <c r="AH591" s="58"/>
      <c r="AI591" s="58"/>
      <c r="AJ591" s="11" t="s">
        <v>115</v>
      </c>
      <c r="AT591" s="11"/>
      <c r="AU591" s="11"/>
      <c r="AV591" s="11"/>
      <c r="AW591" s="11"/>
      <c r="AX591" s="11"/>
      <c r="AY591" s="11"/>
    </row>
    <row r="592" spans="1:51" ht="18" customHeight="1">
      <c r="A592" s="11"/>
      <c r="B592" s="11"/>
      <c r="C592" s="11"/>
      <c r="D592" s="11"/>
      <c r="E592" s="11"/>
      <c r="F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66"/>
      <c r="AC592" s="11"/>
      <c r="AD592" s="11"/>
      <c r="AE592" s="163" t="s">
        <v>51</v>
      </c>
      <c r="AK592" s="11"/>
      <c r="AL592" s="11"/>
      <c r="AM592" s="11"/>
      <c r="AN592" s="11"/>
      <c r="AO592" s="11"/>
      <c r="AP592" s="11"/>
      <c r="AQ592" s="11"/>
      <c r="AT592" s="11"/>
      <c r="AU592" s="11"/>
      <c r="AV592" s="11"/>
      <c r="AW592" s="11"/>
      <c r="AX592" s="11"/>
      <c r="AY592" s="11"/>
    </row>
    <row r="593" spans="1:51" ht="18" customHeight="1">
      <c r="A593" s="11"/>
      <c r="B593" s="11"/>
      <c r="C593" s="11"/>
      <c r="D593" s="11"/>
      <c r="E593" s="11"/>
      <c r="F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C593" s="11"/>
      <c r="AD593" s="11"/>
      <c r="AE593" s="163" t="s">
        <v>117</v>
      </c>
      <c r="AF593" s="11"/>
      <c r="AG593" s="51">
        <f>AG590+AM590+AG599*2</f>
        <v>2.6399999999999997</v>
      </c>
      <c r="AH593" s="51"/>
      <c r="AI593" s="51"/>
      <c r="AJ593" s="11" t="s">
        <v>113</v>
      </c>
      <c r="AK593" s="163" t="s">
        <v>118</v>
      </c>
      <c r="AL593" s="11"/>
      <c r="AM593" s="51">
        <f>AG591+AG600*2</f>
        <v>2.34</v>
      </c>
      <c r="AN593" s="51"/>
      <c r="AO593" s="51"/>
      <c r="AP593" s="11" t="s">
        <v>115</v>
      </c>
      <c r="AQ593" s="11"/>
      <c r="AT593" s="11"/>
      <c r="AU593" s="11"/>
      <c r="AV593" s="11"/>
      <c r="AW593" s="11"/>
      <c r="AX593" s="11"/>
      <c r="AY593" s="11"/>
    </row>
    <row r="594" spans="1:51" ht="18" customHeight="1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67" t="str">
        <f>C615&amp;" - "&amp;AG601&amp;" x "&amp;AJ601</f>
        <v>5 - 150 x 14</v>
      </c>
      <c r="N594" s="167"/>
      <c r="O594" s="167"/>
      <c r="P594" s="167"/>
      <c r="Q594" s="167"/>
      <c r="R594" s="167"/>
      <c r="S594" s="11"/>
      <c r="T594" s="11"/>
      <c r="U594" s="11"/>
      <c r="V594" s="11"/>
      <c r="W594" s="11"/>
      <c r="X594" s="11"/>
      <c r="Y594" s="11"/>
      <c r="Z594" s="11"/>
      <c r="AA594" s="11"/>
      <c r="AC594" s="11"/>
      <c r="AD594" s="11"/>
      <c r="AE594" s="163" t="s">
        <v>119</v>
      </c>
      <c r="AF594" s="11"/>
      <c r="AG594" s="11"/>
      <c r="AH594" s="11"/>
      <c r="AI594" s="11"/>
      <c r="AJ594" s="11"/>
      <c r="AK594" s="11"/>
      <c r="AL594" s="11"/>
      <c r="AM594" s="11"/>
      <c r="AN594" s="11"/>
      <c r="AO594" s="11"/>
      <c r="AP594" s="11"/>
      <c r="AQ594" s="11"/>
      <c r="AT594" s="11"/>
      <c r="AU594" s="11"/>
      <c r="AV594" s="11"/>
      <c r="AW594" s="11"/>
      <c r="AX594" s="11"/>
      <c r="AY594" s="11"/>
    </row>
    <row r="595" spans="1:81" ht="18" customHeight="1">
      <c r="A595" s="11"/>
      <c r="B595" s="11"/>
      <c r="C595" s="11"/>
      <c r="D595" s="11"/>
      <c r="E595" s="11"/>
      <c r="F595" s="11"/>
      <c r="G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C595" s="11"/>
      <c r="AD595" s="11"/>
      <c r="AE595" s="163" t="s">
        <v>120</v>
      </c>
      <c r="AF595" s="11"/>
      <c r="AG595" s="58">
        <v>2.64</v>
      </c>
      <c r="AH595" s="58"/>
      <c r="AI595" s="58"/>
      <c r="AJ595" s="11" t="s">
        <v>113</v>
      </c>
      <c r="AK595" s="163" t="s">
        <v>121</v>
      </c>
      <c r="AL595" s="11"/>
      <c r="AM595" s="58">
        <v>2.34</v>
      </c>
      <c r="AN595" s="58"/>
      <c r="AO595" s="58"/>
      <c r="AP595" s="11" t="s">
        <v>115</v>
      </c>
      <c r="AQ595" s="11"/>
      <c r="AT595" s="11"/>
      <c r="AU595" s="11"/>
      <c r="AV595" s="11"/>
      <c r="AW595" s="11"/>
      <c r="AX595" s="11"/>
      <c r="AY595" s="11"/>
      <c r="CA595" s="168"/>
      <c r="CB595" s="168"/>
      <c r="CC595" s="168"/>
    </row>
    <row r="596" spans="1:81" ht="18" customHeight="1">
      <c r="A596" s="11"/>
      <c r="B596" s="11"/>
      <c r="C596" s="11"/>
      <c r="D596" s="169" t="s">
        <v>299</v>
      </c>
      <c r="E596" s="169"/>
      <c r="F596" s="170">
        <f>DEGREES(ATAN((AG590-AG591/2)/AG589))</f>
        <v>3.301865674435001</v>
      </c>
      <c r="G596" s="170"/>
      <c r="H596" s="170"/>
      <c r="I596" s="69" t="s">
        <v>122</v>
      </c>
      <c r="J596" s="11"/>
      <c r="K596" s="11"/>
      <c r="L596" s="11"/>
      <c r="M596" s="11"/>
      <c r="N596" s="167" t="str">
        <f>C618&amp;" - "&amp;AN601&amp;" x "&amp;AQ601</f>
        <v>2 - 150 x 14</v>
      </c>
      <c r="O596" s="167"/>
      <c r="P596" s="167"/>
      <c r="Q596" s="167"/>
      <c r="R596" s="167"/>
      <c r="S596" s="167"/>
      <c r="T596" s="11"/>
      <c r="U596" s="11"/>
      <c r="V596" s="169" t="s">
        <v>300</v>
      </c>
      <c r="W596" s="169"/>
      <c r="X596" s="170">
        <f>DEGREES(ATAN((AM590-AG591/2)/AG589))</f>
        <v>3.301865674435001</v>
      </c>
      <c r="Y596" s="170"/>
      <c r="Z596" s="170"/>
      <c r="AA596" s="69" t="s">
        <v>122</v>
      </c>
      <c r="AB596" s="11"/>
      <c r="AC596" s="11"/>
      <c r="AD596" s="11"/>
      <c r="AE596" s="163" t="s">
        <v>67</v>
      </c>
      <c r="AF596" s="11"/>
      <c r="AG596" s="58">
        <v>0.015</v>
      </c>
      <c r="AH596" s="58"/>
      <c r="AI596" s="58"/>
      <c r="AJ596" s="11" t="s">
        <v>65</v>
      </c>
      <c r="AK596" s="11"/>
      <c r="AL596" s="11"/>
      <c r="AM596" s="11"/>
      <c r="AN596" s="11"/>
      <c r="AO596" s="11"/>
      <c r="AP596" s="11"/>
      <c r="AQ596" s="11"/>
      <c r="AT596" s="11"/>
      <c r="AU596" s="11"/>
      <c r="AV596" s="11"/>
      <c r="AW596" s="169"/>
      <c r="AX596" s="169"/>
      <c r="AY596" s="11"/>
      <c r="CA596" s="168"/>
      <c r="CB596" s="168"/>
      <c r="CC596" s="168"/>
    </row>
    <row r="597" spans="1:81" ht="18" customHeight="1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63" t="s">
        <v>68</v>
      </c>
      <c r="AF597" s="11"/>
      <c r="AG597" s="58">
        <v>0.015</v>
      </c>
      <c r="AH597" s="58"/>
      <c r="AI597" s="58"/>
      <c r="AJ597" s="11" t="s">
        <v>65</v>
      </c>
      <c r="AK597" s="11"/>
      <c r="AL597" s="11"/>
      <c r="AM597" s="11"/>
      <c r="AN597" s="11"/>
      <c r="AO597" s="11"/>
      <c r="AP597" s="11"/>
      <c r="AQ597" s="11"/>
      <c r="AT597" s="11"/>
      <c r="AU597" s="11"/>
      <c r="AV597" s="11"/>
      <c r="AW597" s="11"/>
      <c r="AX597" s="11"/>
      <c r="AY597" s="11"/>
      <c r="CA597" s="168"/>
      <c r="CB597" s="168"/>
      <c r="CC597" s="168"/>
    </row>
    <row r="598" spans="1:81" ht="18" customHeight="1">
      <c r="A598" s="11"/>
      <c r="B598" s="11"/>
      <c r="C598" s="11"/>
      <c r="D598" s="11"/>
      <c r="E598" s="11"/>
      <c r="F598" s="11"/>
      <c r="G598" s="11"/>
      <c r="H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63" t="s">
        <v>69</v>
      </c>
      <c r="AF598" s="11"/>
      <c r="AG598" s="58">
        <v>0.01</v>
      </c>
      <c r="AH598" s="58"/>
      <c r="AI598" s="58"/>
      <c r="AJ598" s="11" t="s">
        <v>65</v>
      </c>
      <c r="AK598" s="11"/>
      <c r="AL598" s="11"/>
      <c r="AM598" s="11"/>
      <c r="AN598" s="11"/>
      <c r="AO598" s="11"/>
      <c r="AP598" s="11"/>
      <c r="AQ598" s="11"/>
      <c r="CA598" s="168"/>
      <c r="CB598" s="168"/>
      <c r="CC598" s="168"/>
    </row>
    <row r="599" spans="1:81" ht="18" customHeight="1">
      <c r="A599" s="11"/>
      <c r="B599" s="11"/>
      <c r="E599" s="165"/>
      <c r="F599" s="165"/>
      <c r="G599" s="165"/>
      <c r="H599" s="165"/>
      <c r="I599" s="165"/>
      <c r="J599" s="171"/>
      <c r="K599" s="165"/>
      <c r="L599" s="165"/>
      <c r="M599" s="165"/>
      <c r="N599" s="165"/>
      <c r="O599" s="165"/>
      <c r="P599" s="165"/>
      <c r="Q599" s="165"/>
      <c r="R599" s="165"/>
      <c r="S599" s="165"/>
      <c r="T599" s="172"/>
      <c r="U599" s="165"/>
      <c r="V599" s="165"/>
      <c r="AD599" s="11"/>
      <c r="AE599" s="162" t="s">
        <v>123</v>
      </c>
      <c r="AG599" s="56">
        <v>0.12</v>
      </c>
      <c r="AH599" s="56"/>
      <c r="AI599" s="56"/>
      <c r="AJ599" s="162" t="s">
        <v>65</v>
      </c>
      <c r="AK599" s="11"/>
      <c r="AL599" s="11"/>
      <c r="AM599" s="11"/>
      <c r="AN599" s="11"/>
      <c r="AO599" s="11"/>
      <c r="AP599" s="11"/>
      <c r="AQ599" s="11"/>
      <c r="AX599" s="165"/>
      <c r="CA599" s="168"/>
      <c r="CB599" s="168"/>
      <c r="CC599" s="168"/>
    </row>
    <row r="600" spans="5:50" ht="18" customHeight="1">
      <c r="E600" s="165"/>
      <c r="F600" s="165"/>
      <c r="G600" s="165"/>
      <c r="H600" s="165"/>
      <c r="I600" s="165"/>
      <c r="J600" s="165"/>
      <c r="K600" s="165"/>
      <c r="N600" s="165"/>
      <c r="O600" s="165"/>
      <c r="P600" s="165"/>
      <c r="Q600" s="165"/>
      <c r="R600" s="165"/>
      <c r="S600" s="165"/>
      <c r="T600" s="165"/>
      <c r="U600" s="165"/>
      <c r="V600" s="165"/>
      <c r="AE600" s="162" t="s">
        <v>124</v>
      </c>
      <c r="AG600" s="56">
        <v>0.12</v>
      </c>
      <c r="AH600" s="56"/>
      <c r="AI600" s="56"/>
      <c r="AJ600" s="162" t="s">
        <v>65</v>
      </c>
      <c r="AX600" s="165"/>
    </row>
    <row r="601" spans="31:45" ht="18" customHeight="1">
      <c r="AE601" s="162" t="s">
        <v>70</v>
      </c>
      <c r="AG601" s="55">
        <v>150</v>
      </c>
      <c r="AH601" s="55"/>
      <c r="AI601" s="173" t="s">
        <v>125</v>
      </c>
      <c r="AJ601" s="55">
        <v>14</v>
      </c>
      <c r="AK601" s="55"/>
      <c r="AL601" s="162" t="s">
        <v>71</v>
      </c>
      <c r="AM601" s="162" t="s">
        <v>113</v>
      </c>
      <c r="AN601" s="55">
        <v>150</v>
      </c>
      <c r="AO601" s="55"/>
      <c r="AP601" s="173" t="s">
        <v>125</v>
      </c>
      <c r="AQ601" s="55">
        <v>14</v>
      </c>
      <c r="AR601" s="55"/>
      <c r="AS601" s="162" t="s">
        <v>71</v>
      </c>
    </row>
    <row r="602" spans="33:83" ht="18" customHeight="1">
      <c r="AG602" s="174"/>
      <c r="AH602" s="174"/>
      <c r="AI602" s="173"/>
      <c r="AJ602" s="174"/>
      <c r="AK602" s="174"/>
      <c r="AN602" s="174"/>
      <c r="AO602" s="174"/>
      <c r="AP602" s="173"/>
      <c r="AQ602" s="174"/>
      <c r="AR602" s="174"/>
      <c r="CA602" s="174"/>
      <c r="CB602" s="173"/>
      <c r="CD602" s="174"/>
      <c r="CE602" s="173"/>
    </row>
    <row r="603" spans="4:54" ht="18" customHeight="1">
      <c r="D603" s="175" t="s">
        <v>126</v>
      </c>
      <c r="E603" s="176"/>
      <c r="F603" s="176"/>
      <c r="G603" s="176"/>
      <c r="H603" s="176"/>
      <c r="I603" s="176"/>
      <c r="J603" s="176"/>
      <c r="K603" s="176"/>
      <c r="L603" s="176"/>
      <c r="M603" s="176"/>
      <c r="N603" s="176"/>
      <c r="O603" s="176"/>
      <c r="P603" s="176"/>
      <c r="Q603" s="176"/>
      <c r="R603" s="176"/>
      <c r="S603" s="176"/>
      <c r="T603" s="176"/>
      <c r="U603" s="176"/>
      <c r="V603" s="176"/>
      <c r="W603" s="176"/>
      <c r="X603" s="176"/>
      <c r="Y603" s="176"/>
      <c r="Z603" s="176"/>
      <c r="AA603" s="176"/>
      <c r="AB603" s="177"/>
      <c r="AC603" s="175" t="s">
        <v>127</v>
      </c>
      <c r="AD603" s="49"/>
      <c r="AE603" s="49"/>
      <c r="AF603" s="50"/>
      <c r="AG603" s="178" t="s">
        <v>128</v>
      </c>
      <c r="AH603" s="176"/>
      <c r="AI603" s="176"/>
      <c r="AJ603" s="176"/>
      <c r="AK603" s="176"/>
      <c r="AL603" s="177"/>
      <c r="AU603" s="11"/>
      <c r="AV603" s="11"/>
      <c r="AW603" s="11"/>
      <c r="AX603" s="11"/>
      <c r="AY603" s="11"/>
      <c r="AZ603" s="11"/>
      <c r="BA603" s="11"/>
      <c r="BB603" s="11"/>
    </row>
    <row r="604" spans="4:54" ht="18" customHeight="1">
      <c r="D604" s="179" t="s">
        <v>129</v>
      </c>
      <c r="E604" s="180"/>
      <c r="F604" s="180"/>
      <c r="G604" s="180"/>
      <c r="H604" s="180"/>
      <c r="I604" s="180"/>
      <c r="J604" s="180"/>
      <c r="K604" s="180"/>
      <c r="L604" s="180"/>
      <c r="M604" s="180"/>
      <c r="N604" s="180"/>
      <c r="O604" s="180"/>
      <c r="P604" s="180"/>
      <c r="Q604" s="180"/>
      <c r="R604" s="180"/>
      <c r="S604" s="180"/>
      <c r="T604" s="180"/>
      <c r="U604" s="180"/>
      <c r="V604" s="180"/>
      <c r="W604" s="180"/>
      <c r="X604" s="180"/>
      <c r="Y604" s="180"/>
      <c r="Z604" s="180"/>
      <c r="AA604" s="180"/>
      <c r="AB604" s="181"/>
      <c r="AC604" s="182" t="s">
        <v>28</v>
      </c>
      <c r="AD604" s="182"/>
      <c r="AE604" s="182"/>
      <c r="AF604" s="182"/>
      <c r="AG604" s="82">
        <v>200000</v>
      </c>
      <c r="AH604" s="83"/>
      <c r="AI604" s="83"/>
      <c r="AJ604" s="83"/>
      <c r="AK604" s="83"/>
      <c r="AL604" s="84"/>
      <c r="AU604" s="11"/>
      <c r="AV604" s="11"/>
      <c r="AW604" s="11"/>
      <c r="AX604" s="11"/>
      <c r="AY604" s="11"/>
      <c r="AZ604" s="11"/>
      <c r="BA604" s="11"/>
      <c r="BB604" s="11"/>
    </row>
    <row r="605" spans="4:54" ht="18" customHeight="1">
      <c r="D605" s="179" t="s">
        <v>52</v>
      </c>
      <c r="E605" s="180"/>
      <c r="F605" s="180"/>
      <c r="G605" s="180"/>
      <c r="H605" s="180"/>
      <c r="I605" s="180"/>
      <c r="J605" s="180"/>
      <c r="K605" s="180"/>
      <c r="L605" s="180"/>
      <c r="M605" s="180"/>
      <c r="N605" s="180"/>
      <c r="O605" s="180"/>
      <c r="P605" s="180"/>
      <c r="Q605" s="180"/>
      <c r="R605" s="180"/>
      <c r="S605" s="180"/>
      <c r="T605" s="180"/>
      <c r="U605" s="180"/>
      <c r="V605" s="180"/>
      <c r="W605" s="180"/>
      <c r="X605" s="180"/>
      <c r="Y605" s="180"/>
      <c r="Z605" s="180"/>
      <c r="AA605" s="180"/>
      <c r="AB605" s="181"/>
      <c r="AC605" s="183" t="s">
        <v>130</v>
      </c>
      <c r="AD605" s="182"/>
      <c r="AE605" s="182"/>
      <c r="AF605" s="184"/>
      <c r="AG605" s="87">
        <v>4687.416</v>
      </c>
      <c r="AH605" s="88"/>
      <c r="AI605" s="88"/>
      <c r="AJ605" s="88"/>
      <c r="AK605" s="88"/>
      <c r="AL605" s="89"/>
      <c r="AU605" s="11"/>
      <c r="AV605" s="11"/>
      <c r="AW605" s="11"/>
      <c r="AX605" s="11"/>
      <c r="AY605" s="11"/>
      <c r="AZ605" s="11"/>
      <c r="BA605" s="11"/>
      <c r="BB605" s="11"/>
    </row>
    <row r="606" spans="4:54" ht="18" customHeight="1">
      <c r="D606" s="179" t="s">
        <v>102</v>
      </c>
      <c r="E606" s="180"/>
      <c r="F606" s="180"/>
      <c r="G606" s="180"/>
      <c r="H606" s="180"/>
      <c r="I606" s="180"/>
      <c r="J606" s="180"/>
      <c r="K606" s="180"/>
      <c r="L606" s="180"/>
      <c r="M606" s="180"/>
      <c r="N606" s="180"/>
      <c r="O606" s="180"/>
      <c r="P606" s="180"/>
      <c r="Q606" s="180"/>
      <c r="R606" s="180"/>
      <c r="S606" s="180"/>
      <c r="T606" s="180"/>
      <c r="U606" s="180"/>
      <c r="V606" s="180"/>
      <c r="W606" s="180"/>
      <c r="X606" s="180"/>
      <c r="Y606" s="180"/>
      <c r="Z606" s="180"/>
      <c r="AA606" s="180"/>
      <c r="AB606" s="181"/>
      <c r="AC606" s="183" t="s">
        <v>130</v>
      </c>
      <c r="AD606" s="182"/>
      <c r="AE606" s="182"/>
      <c r="AF606" s="184"/>
      <c r="AG606" s="87">
        <v>2996.826</v>
      </c>
      <c r="AH606" s="88"/>
      <c r="AI606" s="88"/>
      <c r="AJ606" s="88"/>
      <c r="AK606" s="88"/>
      <c r="AL606" s="89"/>
      <c r="AU606" s="11"/>
      <c r="AV606" s="11"/>
      <c r="AW606" s="11"/>
      <c r="AX606" s="11"/>
      <c r="AY606" s="11"/>
      <c r="AZ606" s="11"/>
      <c r="BA606" s="11"/>
      <c r="BB606" s="11"/>
    </row>
    <row r="607" spans="4:54" ht="18" customHeight="1">
      <c r="D607" s="179" t="s">
        <v>53</v>
      </c>
      <c r="E607" s="180"/>
      <c r="F607" s="180"/>
      <c r="G607" s="180"/>
      <c r="H607" s="180"/>
      <c r="I607" s="180"/>
      <c r="J607" s="180"/>
      <c r="K607" s="180"/>
      <c r="L607" s="180"/>
      <c r="M607" s="180"/>
      <c r="N607" s="180"/>
      <c r="O607" s="180"/>
      <c r="P607" s="180"/>
      <c r="Q607" s="180"/>
      <c r="R607" s="180"/>
      <c r="S607" s="180"/>
      <c r="T607" s="180"/>
      <c r="U607" s="180"/>
      <c r="V607" s="180"/>
      <c r="W607" s="180"/>
      <c r="X607" s="180"/>
      <c r="Y607" s="180"/>
      <c r="Z607" s="180"/>
      <c r="AA607" s="180"/>
      <c r="AB607" s="181"/>
      <c r="AC607" s="183" t="s">
        <v>131</v>
      </c>
      <c r="AD607" s="182"/>
      <c r="AE607" s="182"/>
      <c r="AF607" s="184"/>
      <c r="AG607" s="87">
        <v>-245.898</v>
      </c>
      <c r="AH607" s="88"/>
      <c r="AI607" s="88"/>
      <c r="AJ607" s="88"/>
      <c r="AK607" s="88"/>
      <c r="AL607" s="89"/>
      <c r="AU607" s="11"/>
      <c r="AV607" s="11"/>
      <c r="AW607" s="11"/>
      <c r="AX607" s="11"/>
      <c r="AY607" s="11"/>
      <c r="AZ607" s="11"/>
      <c r="BA607" s="11"/>
      <c r="BB607" s="11"/>
    </row>
    <row r="608" spans="4:54" ht="18" customHeight="1">
      <c r="D608" s="179" t="s">
        <v>103</v>
      </c>
      <c r="E608" s="180"/>
      <c r="F608" s="180"/>
      <c r="G608" s="180"/>
      <c r="H608" s="180"/>
      <c r="I608" s="180"/>
      <c r="J608" s="180"/>
      <c r="K608" s="180"/>
      <c r="L608" s="180"/>
      <c r="M608" s="180"/>
      <c r="N608" s="180"/>
      <c r="O608" s="180"/>
      <c r="P608" s="180"/>
      <c r="Q608" s="180"/>
      <c r="R608" s="180"/>
      <c r="S608" s="180"/>
      <c r="T608" s="180"/>
      <c r="U608" s="180"/>
      <c r="V608" s="180"/>
      <c r="W608" s="180"/>
      <c r="X608" s="180"/>
      <c r="Y608" s="180"/>
      <c r="Z608" s="180"/>
      <c r="AA608" s="180"/>
      <c r="AB608" s="181"/>
      <c r="AC608" s="183" t="s">
        <v>131</v>
      </c>
      <c r="AD608" s="182"/>
      <c r="AE608" s="182"/>
      <c r="AF608" s="184"/>
      <c r="AG608" s="87">
        <v>-326.723</v>
      </c>
      <c r="AH608" s="88"/>
      <c r="AI608" s="88"/>
      <c r="AJ608" s="88"/>
      <c r="AK608" s="88"/>
      <c r="AL608" s="89"/>
      <c r="AU608" s="11"/>
      <c r="AV608" s="11"/>
      <c r="AW608" s="11"/>
      <c r="AX608" s="11"/>
      <c r="AY608" s="11"/>
      <c r="AZ608" s="11"/>
      <c r="BA608" s="11"/>
      <c r="BB608" s="11"/>
    </row>
    <row r="609" spans="4:54" ht="18" customHeight="1">
      <c r="D609" s="179" t="s">
        <v>54</v>
      </c>
      <c r="E609" s="180"/>
      <c r="F609" s="180"/>
      <c r="G609" s="180"/>
      <c r="H609" s="180"/>
      <c r="I609" s="180"/>
      <c r="J609" s="180"/>
      <c r="K609" s="180"/>
      <c r="L609" s="180"/>
      <c r="M609" s="180"/>
      <c r="N609" s="180"/>
      <c r="O609" s="180"/>
      <c r="P609" s="180"/>
      <c r="Q609" s="180"/>
      <c r="R609" s="180"/>
      <c r="S609" s="180"/>
      <c r="T609" s="180"/>
      <c r="U609" s="180"/>
      <c r="V609" s="180"/>
      <c r="W609" s="180"/>
      <c r="X609" s="180"/>
      <c r="Y609" s="180"/>
      <c r="Z609" s="180"/>
      <c r="AA609" s="180"/>
      <c r="AB609" s="181"/>
      <c r="AC609" s="183" t="s">
        <v>130</v>
      </c>
      <c r="AD609" s="182"/>
      <c r="AE609" s="182"/>
      <c r="AF609" s="184"/>
      <c r="AG609" s="87">
        <v>34.688</v>
      </c>
      <c r="AH609" s="88"/>
      <c r="AI609" s="88"/>
      <c r="AJ609" s="88"/>
      <c r="AK609" s="88"/>
      <c r="AL609" s="89"/>
      <c r="AU609" s="11"/>
      <c r="AV609" s="11"/>
      <c r="AW609" s="11"/>
      <c r="AX609" s="11"/>
      <c r="AY609" s="11"/>
      <c r="AZ609" s="11"/>
      <c r="BA609" s="11"/>
      <c r="BB609" s="11"/>
    </row>
    <row r="610" spans="4:54" ht="18" customHeight="1">
      <c r="D610" s="179" t="s">
        <v>104</v>
      </c>
      <c r="E610" s="180"/>
      <c r="F610" s="180"/>
      <c r="G610" s="180"/>
      <c r="H610" s="180"/>
      <c r="I610" s="180"/>
      <c r="J610" s="180"/>
      <c r="K610" s="180"/>
      <c r="L610" s="180"/>
      <c r="M610" s="180"/>
      <c r="N610" s="180"/>
      <c r="O610" s="180"/>
      <c r="P610" s="180"/>
      <c r="Q610" s="180"/>
      <c r="R610" s="180"/>
      <c r="S610" s="180"/>
      <c r="T610" s="180"/>
      <c r="U610" s="180"/>
      <c r="V610" s="180"/>
      <c r="W610" s="180"/>
      <c r="X610" s="180"/>
      <c r="Y610" s="180"/>
      <c r="Z610" s="180"/>
      <c r="AA610" s="180"/>
      <c r="AB610" s="181"/>
      <c r="AC610" s="183" t="s">
        <v>130</v>
      </c>
      <c r="AD610" s="182"/>
      <c r="AE610" s="182"/>
      <c r="AF610" s="184"/>
      <c r="AG610" s="87">
        <v>310.163</v>
      </c>
      <c r="AH610" s="88"/>
      <c r="AI610" s="88"/>
      <c r="AJ610" s="88"/>
      <c r="AK610" s="88"/>
      <c r="AL610" s="89"/>
      <c r="AU610" s="11"/>
      <c r="AV610" s="11"/>
      <c r="AW610" s="11"/>
      <c r="AX610" s="11"/>
      <c r="AY610" s="11"/>
      <c r="AZ610" s="11"/>
      <c r="BA610" s="11"/>
      <c r="BB610" s="11"/>
    </row>
    <row r="611" spans="47:54" ht="18" customHeight="1">
      <c r="AU611" s="11"/>
      <c r="AV611" s="11"/>
      <c r="AW611" s="11"/>
      <c r="AX611" s="11"/>
      <c r="AY611" s="11"/>
      <c r="AZ611" s="11"/>
      <c r="BA611" s="11"/>
      <c r="BB611" s="11"/>
    </row>
    <row r="612" spans="4:54" ht="18" customHeight="1">
      <c r="D612" s="162" t="s">
        <v>132</v>
      </c>
      <c r="AU612" s="11"/>
      <c r="AV612" s="11"/>
      <c r="AW612" s="11"/>
      <c r="AX612" s="11"/>
      <c r="AY612" s="11"/>
      <c r="AZ612" s="11"/>
      <c r="BA612" s="11"/>
      <c r="BB612" s="11"/>
    </row>
    <row r="613" spans="3:54" ht="18" customHeight="1">
      <c r="C613" s="175" t="s">
        <v>133</v>
      </c>
      <c r="D613" s="176"/>
      <c r="E613" s="176"/>
      <c r="F613" s="176"/>
      <c r="G613" s="176"/>
      <c r="H613" s="176"/>
      <c r="I613" s="176"/>
      <c r="J613" s="177"/>
      <c r="K613" s="178" t="s">
        <v>134</v>
      </c>
      <c r="L613" s="176"/>
      <c r="M613" s="177"/>
      <c r="N613" s="178" t="s">
        <v>135</v>
      </c>
      <c r="O613" s="176"/>
      <c r="P613" s="177"/>
      <c r="Q613" s="178" t="s">
        <v>136</v>
      </c>
      <c r="R613" s="176"/>
      <c r="S613" s="176"/>
      <c r="T613" s="177"/>
      <c r="U613" s="178" t="s">
        <v>137</v>
      </c>
      <c r="V613" s="176"/>
      <c r="W613" s="176"/>
      <c r="X613" s="177"/>
      <c r="Y613" s="178" t="s">
        <v>138</v>
      </c>
      <c r="Z613" s="176"/>
      <c r="AA613" s="176"/>
      <c r="AB613" s="176"/>
      <c r="AC613" s="177"/>
      <c r="AD613" s="178" t="s">
        <v>29</v>
      </c>
      <c r="AE613" s="176"/>
      <c r="AF613" s="176"/>
      <c r="AG613" s="176"/>
      <c r="AH613" s="176"/>
      <c r="AI613" s="177"/>
      <c r="AJ613" s="178" t="s">
        <v>30</v>
      </c>
      <c r="AK613" s="176"/>
      <c r="AL613" s="176"/>
      <c r="AM613" s="176"/>
      <c r="AN613" s="176"/>
      <c r="AO613" s="177"/>
      <c r="AU613" s="11"/>
      <c r="AV613" s="11"/>
      <c r="AW613" s="11"/>
      <c r="AX613" s="11"/>
      <c r="AY613" s="11"/>
      <c r="AZ613" s="11"/>
      <c r="BA613" s="11"/>
      <c r="BB613" s="11"/>
    </row>
    <row r="614" spans="3:54" ht="18" customHeight="1">
      <c r="C614" s="185">
        <v>1</v>
      </c>
      <c r="D614" s="180" t="s">
        <v>72</v>
      </c>
      <c r="E614" s="180" t="s">
        <v>73</v>
      </c>
      <c r="F614" s="180"/>
      <c r="G614" s="180"/>
      <c r="H614" s="180"/>
      <c r="I614" s="180"/>
      <c r="J614" s="181"/>
      <c r="K614" s="186">
        <f>AG595*1000</f>
        <v>2640</v>
      </c>
      <c r="L614" s="187"/>
      <c r="M614" s="188"/>
      <c r="N614" s="186">
        <f>AG596*1000</f>
        <v>15</v>
      </c>
      <c r="O614" s="187"/>
      <c r="P614" s="188"/>
      <c r="Q614" s="189">
        <f aca="true" t="shared" si="15" ref="Q614:Q619">C614*K614*N614</f>
        <v>39600</v>
      </c>
      <c r="R614" s="190"/>
      <c r="S614" s="190"/>
      <c r="T614" s="191"/>
      <c r="U614" s="192">
        <f>-(N614+AG589*1000)/2</f>
        <v>-1307.5</v>
      </c>
      <c r="V614" s="193"/>
      <c r="W614" s="193"/>
      <c r="X614" s="194"/>
      <c r="Y614" s="189">
        <f aca="true" t="shared" si="16" ref="Y614:Y619">Q614*U614</f>
        <v>-51777000</v>
      </c>
      <c r="Z614" s="190"/>
      <c r="AA614" s="190"/>
      <c r="AB614" s="190"/>
      <c r="AC614" s="191"/>
      <c r="AD614" s="189">
        <f aca="true" t="shared" si="17" ref="AD614:AD619">U614*Y614</f>
        <v>67698427500</v>
      </c>
      <c r="AE614" s="190"/>
      <c r="AF614" s="190"/>
      <c r="AG614" s="190"/>
      <c r="AH614" s="190"/>
      <c r="AI614" s="191"/>
      <c r="AJ614" s="189">
        <f>C614*K614*POWER(N614,3)/12</f>
        <v>742500</v>
      </c>
      <c r="AK614" s="190"/>
      <c r="AL614" s="190"/>
      <c r="AM614" s="190"/>
      <c r="AN614" s="190"/>
      <c r="AO614" s="191"/>
      <c r="AU614" s="11"/>
      <c r="AV614" s="11"/>
      <c r="AW614" s="11"/>
      <c r="AX614" s="11"/>
      <c r="AY614" s="11"/>
      <c r="AZ614" s="11"/>
      <c r="BA614" s="11"/>
      <c r="BB614" s="11"/>
    </row>
    <row r="615" spans="3:54" ht="18" customHeight="1">
      <c r="C615" s="101">
        <v>5</v>
      </c>
      <c r="D615" s="180" t="s">
        <v>72</v>
      </c>
      <c r="E615" s="180" t="s">
        <v>74</v>
      </c>
      <c r="F615" s="180"/>
      <c r="G615" s="180"/>
      <c r="H615" s="180"/>
      <c r="I615" s="180"/>
      <c r="J615" s="181"/>
      <c r="K615" s="186">
        <f>AJ601</f>
        <v>14</v>
      </c>
      <c r="L615" s="187"/>
      <c r="M615" s="188"/>
      <c r="N615" s="186">
        <f>AG601</f>
        <v>150</v>
      </c>
      <c r="O615" s="187"/>
      <c r="P615" s="188"/>
      <c r="Q615" s="189">
        <f t="shared" si="15"/>
        <v>10500</v>
      </c>
      <c r="R615" s="190"/>
      <c r="S615" s="190"/>
      <c r="T615" s="191"/>
      <c r="U615" s="192">
        <f>-(AG589*1000-N615)/2</f>
        <v>-1225</v>
      </c>
      <c r="V615" s="193"/>
      <c r="W615" s="193"/>
      <c r="X615" s="194"/>
      <c r="Y615" s="189">
        <f t="shared" si="16"/>
        <v>-12862500</v>
      </c>
      <c r="Z615" s="190"/>
      <c r="AA615" s="190"/>
      <c r="AB615" s="190"/>
      <c r="AC615" s="191"/>
      <c r="AD615" s="189">
        <f t="shared" si="17"/>
        <v>15756562500</v>
      </c>
      <c r="AE615" s="190"/>
      <c r="AF615" s="190"/>
      <c r="AG615" s="190"/>
      <c r="AH615" s="190"/>
      <c r="AI615" s="191"/>
      <c r="AJ615" s="189">
        <f>C615*K615*POWER(N615,3)/12</f>
        <v>19687500</v>
      </c>
      <c r="AK615" s="190"/>
      <c r="AL615" s="190"/>
      <c r="AM615" s="190"/>
      <c r="AN615" s="190"/>
      <c r="AO615" s="191"/>
      <c r="AU615" s="11"/>
      <c r="AV615" s="11"/>
      <c r="AW615" s="11"/>
      <c r="AX615" s="11"/>
      <c r="AY615" s="11"/>
      <c r="AZ615" s="11"/>
      <c r="BA615" s="11"/>
      <c r="BB615" s="11"/>
    </row>
    <row r="616" spans="3:54" ht="18" customHeight="1">
      <c r="C616" s="195">
        <v>1</v>
      </c>
      <c r="D616" s="196" t="s">
        <v>72</v>
      </c>
      <c r="E616" s="196" t="s">
        <v>139</v>
      </c>
      <c r="F616" s="196"/>
      <c r="G616" s="196"/>
      <c r="H616" s="196"/>
      <c r="I616" s="196"/>
      <c r="J616" s="197"/>
      <c r="K616" s="192">
        <f>AG598*1000</f>
        <v>10</v>
      </c>
      <c r="L616" s="182"/>
      <c r="M616" s="184"/>
      <c r="N616" s="192">
        <f>AG589/COS(RADIANS(F596))*1000</f>
        <v>2604.3233286210834</v>
      </c>
      <c r="O616" s="182"/>
      <c r="P616" s="184"/>
      <c r="Q616" s="198">
        <f t="shared" si="15"/>
        <v>26043.233286210834</v>
      </c>
      <c r="R616" s="199"/>
      <c r="S616" s="199"/>
      <c r="T616" s="200"/>
      <c r="U616" s="192">
        <v>0</v>
      </c>
      <c r="V616" s="193"/>
      <c r="W616" s="193"/>
      <c r="X616" s="194"/>
      <c r="Y616" s="201">
        <f t="shared" si="16"/>
        <v>0</v>
      </c>
      <c r="Z616" s="202"/>
      <c r="AA616" s="202"/>
      <c r="AB616" s="202"/>
      <c r="AC616" s="203"/>
      <c r="AD616" s="201">
        <f t="shared" si="17"/>
        <v>0</v>
      </c>
      <c r="AE616" s="202"/>
      <c r="AF616" s="202"/>
      <c r="AG616" s="202"/>
      <c r="AH616" s="202"/>
      <c r="AI616" s="203"/>
      <c r="AJ616" s="201">
        <f>C617*K617*N617/12*((N617*COS(RADIANS(F596)))^2+(K617*SIN(RADIANS(F596)))^2)</f>
        <v>14671022137.85546</v>
      </c>
      <c r="AK616" s="202"/>
      <c r="AL616" s="202"/>
      <c r="AM616" s="202"/>
      <c r="AN616" s="202"/>
      <c r="AO616" s="203"/>
      <c r="AU616" s="11"/>
      <c r="AV616" s="11"/>
      <c r="AW616" s="11"/>
      <c r="AX616" s="11"/>
      <c r="AY616" s="11"/>
      <c r="AZ616" s="11"/>
      <c r="BA616" s="11"/>
      <c r="BB616" s="11"/>
    </row>
    <row r="617" spans="3:54" ht="18" customHeight="1">
      <c r="C617" s="195">
        <v>1</v>
      </c>
      <c r="D617" s="196" t="s">
        <v>72</v>
      </c>
      <c r="E617" s="196" t="s">
        <v>140</v>
      </c>
      <c r="F617" s="196"/>
      <c r="G617" s="196"/>
      <c r="H617" s="196"/>
      <c r="I617" s="196"/>
      <c r="J617" s="197"/>
      <c r="K617" s="192">
        <f>AG598*1000</f>
        <v>10</v>
      </c>
      <c r="L617" s="182"/>
      <c r="M617" s="184"/>
      <c r="N617" s="192">
        <f>AG589/COS(RADIANS(X596))*1000</f>
        <v>2604.3233286210834</v>
      </c>
      <c r="O617" s="182"/>
      <c r="P617" s="184"/>
      <c r="Q617" s="198">
        <f t="shared" si="15"/>
        <v>26043.233286210834</v>
      </c>
      <c r="R617" s="199"/>
      <c r="S617" s="199"/>
      <c r="T617" s="200"/>
      <c r="U617" s="192">
        <v>0</v>
      </c>
      <c r="V617" s="193"/>
      <c r="W617" s="193"/>
      <c r="X617" s="194"/>
      <c r="Y617" s="201">
        <f t="shared" si="16"/>
        <v>0</v>
      </c>
      <c r="Z617" s="202"/>
      <c r="AA617" s="202"/>
      <c r="AB617" s="202"/>
      <c r="AC617" s="203"/>
      <c r="AD617" s="201">
        <f t="shared" si="17"/>
        <v>0</v>
      </c>
      <c r="AE617" s="202"/>
      <c r="AF617" s="202"/>
      <c r="AG617" s="202"/>
      <c r="AH617" s="202"/>
      <c r="AI617" s="203"/>
      <c r="AJ617" s="201">
        <f>C617*K617*N617/12*((N617*COS(RADIANS(X596)))^2+(K617*SIN(RADIANS(X596)))^2)</f>
        <v>14671022137.85546</v>
      </c>
      <c r="AK617" s="202"/>
      <c r="AL617" s="202"/>
      <c r="AM617" s="202"/>
      <c r="AN617" s="202"/>
      <c r="AO617" s="203"/>
      <c r="AU617" s="11"/>
      <c r="AV617" s="11"/>
      <c r="AW617" s="11"/>
      <c r="AX617" s="11"/>
      <c r="AY617" s="11"/>
      <c r="AZ617" s="11"/>
      <c r="BA617" s="11"/>
      <c r="BB617" s="11"/>
    </row>
    <row r="618" spans="3:41" ht="18" customHeight="1">
      <c r="C618" s="101">
        <v>2</v>
      </c>
      <c r="D618" s="180" t="s">
        <v>72</v>
      </c>
      <c r="E618" s="180" t="s">
        <v>75</v>
      </c>
      <c r="F618" s="180"/>
      <c r="G618" s="180"/>
      <c r="H618" s="180"/>
      <c r="I618" s="180"/>
      <c r="J618" s="181"/>
      <c r="K618" s="186">
        <f>AQ601</f>
        <v>14</v>
      </c>
      <c r="L618" s="187"/>
      <c r="M618" s="188"/>
      <c r="N618" s="186">
        <f>AN601</f>
        <v>150</v>
      </c>
      <c r="O618" s="187"/>
      <c r="P618" s="188"/>
      <c r="Q618" s="189">
        <f t="shared" si="15"/>
        <v>4200</v>
      </c>
      <c r="R618" s="190"/>
      <c r="S618" s="190"/>
      <c r="T618" s="191"/>
      <c r="U618" s="192">
        <f>(AG589*1000-N618)/2</f>
        <v>1225</v>
      </c>
      <c r="V618" s="193"/>
      <c r="W618" s="193"/>
      <c r="X618" s="194"/>
      <c r="Y618" s="189">
        <f t="shared" si="16"/>
        <v>5145000</v>
      </c>
      <c r="Z618" s="190"/>
      <c r="AA618" s="190"/>
      <c r="AB618" s="190"/>
      <c r="AC618" s="191"/>
      <c r="AD618" s="189">
        <f t="shared" si="17"/>
        <v>6302625000</v>
      </c>
      <c r="AE618" s="190"/>
      <c r="AF618" s="190"/>
      <c r="AG618" s="190"/>
      <c r="AH618" s="190"/>
      <c r="AI618" s="191"/>
      <c r="AJ618" s="189">
        <f>C618*K618*POWER(N618,3)/12</f>
        <v>7875000</v>
      </c>
      <c r="AK618" s="190"/>
      <c r="AL618" s="190"/>
      <c r="AM618" s="190"/>
      <c r="AN618" s="190"/>
      <c r="AO618" s="191"/>
    </row>
    <row r="619" spans="3:41" ht="18" customHeight="1">
      <c r="C619" s="185">
        <v>1</v>
      </c>
      <c r="D619" s="180" t="s">
        <v>72</v>
      </c>
      <c r="E619" s="180" t="s">
        <v>76</v>
      </c>
      <c r="F619" s="180"/>
      <c r="G619" s="180"/>
      <c r="H619" s="180"/>
      <c r="I619" s="180"/>
      <c r="J619" s="181"/>
      <c r="K619" s="186">
        <f>AM595*1000</f>
        <v>2340</v>
      </c>
      <c r="L619" s="187"/>
      <c r="M619" s="188"/>
      <c r="N619" s="186">
        <f>AG597*1000</f>
        <v>15</v>
      </c>
      <c r="O619" s="187"/>
      <c r="P619" s="188"/>
      <c r="Q619" s="189">
        <f t="shared" si="15"/>
        <v>35100</v>
      </c>
      <c r="R619" s="190"/>
      <c r="S619" s="190"/>
      <c r="T619" s="191"/>
      <c r="U619" s="192">
        <f>(N619+AG589*1000)/2</f>
        <v>1307.5</v>
      </c>
      <c r="V619" s="193"/>
      <c r="W619" s="193"/>
      <c r="X619" s="194"/>
      <c r="Y619" s="189">
        <f t="shared" si="16"/>
        <v>45893250</v>
      </c>
      <c r="Z619" s="190"/>
      <c r="AA619" s="190"/>
      <c r="AB619" s="190"/>
      <c r="AC619" s="191"/>
      <c r="AD619" s="189">
        <f t="shared" si="17"/>
        <v>60005424375</v>
      </c>
      <c r="AE619" s="190"/>
      <c r="AF619" s="190"/>
      <c r="AG619" s="190"/>
      <c r="AH619" s="190"/>
      <c r="AI619" s="191"/>
      <c r="AJ619" s="189">
        <f>C619*K619*POWER(N619,3)/12</f>
        <v>658125</v>
      </c>
      <c r="AK619" s="190"/>
      <c r="AL619" s="190"/>
      <c r="AM619" s="190"/>
      <c r="AN619" s="190"/>
      <c r="AO619" s="191"/>
    </row>
    <row r="620" spans="3:41" ht="18" customHeight="1">
      <c r="C620" s="204" t="s">
        <v>141</v>
      </c>
      <c r="D620" s="187"/>
      <c r="E620" s="187"/>
      <c r="F620" s="187"/>
      <c r="G620" s="187"/>
      <c r="H620" s="187"/>
      <c r="I620" s="187"/>
      <c r="J620" s="188"/>
      <c r="K620" s="179"/>
      <c r="L620" s="180"/>
      <c r="M620" s="181"/>
      <c r="N620" s="179"/>
      <c r="O620" s="180"/>
      <c r="P620" s="181"/>
      <c r="Q620" s="205">
        <f>SUM(Q614:Q619)</f>
        <v>141486.46657242166</v>
      </c>
      <c r="R620" s="206"/>
      <c r="S620" s="206"/>
      <c r="T620" s="207"/>
      <c r="U620" s="208"/>
      <c r="V620" s="209"/>
      <c r="W620" s="209"/>
      <c r="X620" s="210"/>
      <c r="Y620" s="189">
        <f>SUM(Y614:Y619)</f>
        <v>-13601250</v>
      </c>
      <c r="Z620" s="190"/>
      <c r="AA620" s="190"/>
      <c r="AB620" s="190"/>
      <c r="AC620" s="191"/>
      <c r="AD620" s="189">
        <f>SUM(AD614:AD619)</f>
        <v>149763039375</v>
      </c>
      <c r="AE620" s="190"/>
      <c r="AF620" s="190"/>
      <c r="AG620" s="190"/>
      <c r="AH620" s="190"/>
      <c r="AI620" s="191"/>
      <c r="AJ620" s="189">
        <f>SUM(AJ614:AJ619)</f>
        <v>29371007400.71092</v>
      </c>
      <c r="AK620" s="190"/>
      <c r="AL620" s="190"/>
      <c r="AM620" s="190"/>
      <c r="AN620" s="190"/>
      <c r="AO620" s="191"/>
    </row>
    <row r="621" spans="7:20" ht="18" customHeight="1">
      <c r="G621" s="211"/>
      <c r="H621" s="211"/>
      <c r="I621" s="211"/>
      <c r="J621" s="211"/>
      <c r="K621" s="11"/>
      <c r="P621" s="212"/>
      <c r="Q621" s="212"/>
      <c r="R621" s="212"/>
      <c r="S621" s="212"/>
      <c r="T621" s="11"/>
    </row>
    <row r="622" spans="7:20" ht="18" customHeight="1">
      <c r="G622" s="211"/>
      <c r="H622" s="211"/>
      <c r="I622" s="211"/>
      <c r="J622" s="211"/>
      <c r="K622" s="11"/>
      <c r="P622" s="212"/>
      <c r="Q622" s="212"/>
      <c r="R622" s="212"/>
      <c r="S622" s="212"/>
      <c r="T622" s="11"/>
    </row>
    <row r="623" ht="18" customHeight="1">
      <c r="A623" s="213" t="s">
        <v>143</v>
      </c>
    </row>
    <row r="634" ht="18" customHeight="1">
      <c r="B634" s="162" t="s">
        <v>144</v>
      </c>
    </row>
    <row r="635" spans="3:32" ht="18" customHeight="1">
      <c r="C635" s="162" t="s">
        <v>77</v>
      </c>
      <c r="L635" s="214">
        <f>AD620</f>
        <v>149763039375</v>
      </c>
      <c r="M635" s="214"/>
      <c r="N635" s="214"/>
      <c r="O635" s="214"/>
      <c r="P635" s="214"/>
      <c r="Q635" s="162" t="s">
        <v>78</v>
      </c>
      <c r="R635" s="215">
        <f>AJ620</f>
        <v>29371007400.71092</v>
      </c>
      <c r="S635" s="215"/>
      <c r="T635" s="215"/>
      <c r="U635" s="215"/>
      <c r="V635" s="215"/>
      <c r="W635" s="215"/>
      <c r="X635" s="215"/>
      <c r="Y635" s="162" t="s">
        <v>79</v>
      </c>
      <c r="Z635" s="214">
        <f>L635+R635</f>
        <v>179134046775.7109</v>
      </c>
      <c r="AA635" s="214"/>
      <c r="AB635" s="214"/>
      <c r="AC635" s="214"/>
      <c r="AD635" s="214"/>
      <c r="AE635" s="214"/>
      <c r="AF635" s="9" t="s">
        <v>31</v>
      </c>
    </row>
    <row r="636" spans="2:46" ht="18" customHeight="1">
      <c r="B636" s="11"/>
      <c r="C636" s="11" t="s">
        <v>80</v>
      </c>
      <c r="D636" s="11"/>
      <c r="E636" s="11"/>
      <c r="F636" s="11"/>
      <c r="G636" s="11"/>
      <c r="H636" s="11"/>
      <c r="I636" s="11"/>
      <c r="J636" s="11"/>
      <c r="K636" s="11"/>
      <c r="L636" s="216">
        <f>Y620</f>
        <v>-13601250</v>
      </c>
      <c r="M636" s="216"/>
      <c r="N636" s="216"/>
      <c r="O636" s="216"/>
      <c r="P636" s="216"/>
      <c r="Q636" s="11" t="s">
        <v>81</v>
      </c>
      <c r="R636" s="216">
        <f>Q620</f>
        <v>141486.46657242166</v>
      </c>
      <c r="S636" s="216"/>
      <c r="T636" s="216"/>
      <c r="U636" s="216"/>
      <c r="V636" s="216"/>
      <c r="W636" s="11" t="s">
        <v>79</v>
      </c>
      <c r="X636" s="217">
        <f>L636/R636</f>
        <v>-96.1311023555601</v>
      </c>
      <c r="Y636" s="217"/>
      <c r="Z636" s="217"/>
      <c r="AA636" s="217"/>
      <c r="AB636" s="217"/>
      <c r="AC636" s="217"/>
      <c r="AD636" s="10" t="s">
        <v>145</v>
      </c>
      <c r="AE636" s="11"/>
      <c r="AF636" s="11"/>
      <c r="AG636" s="11"/>
      <c r="AH636" s="11"/>
      <c r="AI636" s="11"/>
      <c r="AJ636" s="11"/>
      <c r="AK636" s="11"/>
      <c r="AL636" s="11"/>
      <c r="AM636" s="11"/>
      <c r="AN636" s="11"/>
      <c r="AO636" s="11"/>
      <c r="AP636" s="11"/>
      <c r="AQ636" s="11"/>
      <c r="AR636" s="11"/>
      <c r="AS636" s="11"/>
      <c r="AT636" s="11"/>
    </row>
    <row r="637" spans="2:46" ht="18" customHeight="1">
      <c r="B637" s="11"/>
      <c r="C637" s="11" t="s">
        <v>82</v>
      </c>
      <c r="D637" s="11"/>
      <c r="E637" s="11"/>
      <c r="F637" s="11"/>
      <c r="G637" s="11"/>
      <c r="H637" s="11"/>
      <c r="I637" s="11"/>
      <c r="J637" s="11"/>
      <c r="K637" s="11"/>
      <c r="L637" s="216">
        <f>Z635</f>
        <v>179134046775.7109</v>
      </c>
      <c r="M637" s="216"/>
      <c r="N637" s="216"/>
      <c r="O637" s="216"/>
      <c r="P637" s="216"/>
      <c r="Q637" s="11" t="s">
        <v>72</v>
      </c>
      <c r="R637" s="216">
        <f>Q620</f>
        <v>141486.46657242166</v>
      </c>
      <c r="S637" s="216"/>
      <c r="T637" s="216"/>
      <c r="U637" s="216"/>
      <c r="V637" s="216"/>
      <c r="W637" s="11" t="s">
        <v>83</v>
      </c>
      <c r="X637" s="218">
        <f>X636</f>
        <v>-96.1311023555601</v>
      </c>
      <c r="Y637" s="51"/>
      <c r="Z637" s="51"/>
      <c r="AA637" s="51"/>
      <c r="AB637" s="51"/>
      <c r="AC637" s="11" t="s">
        <v>79</v>
      </c>
      <c r="AD637" s="216">
        <f>L637-R637*X637^2</f>
        <v>177826543619.79733</v>
      </c>
      <c r="AE637" s="216"/>
      <c r="AF637" s="216"/>
      <c r="AG637" s="216"/>
      <c r="AH637" s="216"/>
      <c r="AI637" s="216"/>
      <c r="AJ637" s="9" t="s">
        <v>31</v>
      </c>
      <c r="AK637" s="11"/>
      <c r="AL637" s="11"/>
      <c r="AM637" s="11"/>
      <c r="AN637" s="11"/>
      <c r="AO637" s="11"/>
      <c r="AP637" s="11"/>
      <c r="AQ637" s="11"/>
      <c r="AR637" s="11"/>
      <c r="AS637" s="11"/>
      <c r="AT637" s="11"/>
    </row>
    <row r="638" spans="2:46" ht="18" customHeight="1">
      <c r="B638" s="11"/>
      <c r="C638" s="11" t="s">
        <v>146</v>
      </c>
      <c r="D638" s="11"/>
      <c r="E638" s="11"/>
      <c r="F638" s="11"/>
      <c r="G638" s="11"/>
      <c r="H638" s="11"/>
      <c r="I638" s="11"/>
      <c r="J638" s="11"/>
      <c r="K638" s="11"/>
      <c r="L638" s="11"/>
      <c r="M638" s="219">
        <f>-AG589*1000</f>
        <v>-2600</v>
      </c>
      <c r="N638" s="51"/>
      <c r="O638" s="51"/>
      <c r="P638" s="51"/>
      <c r="Q638" s="11" t="s">
        <v>84</v>
      </c>
      <c r="R638" s="11"/>
      <c r="S638" s="11"/>
      <c r="T638" s="11" t="s">
        <v>147</v>
      </c>
      <c r="U638" s="219">
        <f>N614</f>
        <v>15</v>
      </c>
      <c r="V638" s="51"/>
      <c r="W638" s="11" t="s">
        <v>72</v>
      </c>
      <c r="X638" s="51">
        <f>X637</f>
        <v>-96.1311023555601</v>
      </c>
      <c r="Y638" s="51"/>
      <c r="Z638" s="51"/>
      <c r="AA638" s="51"/>
      <c r="AB638" s="51"/>
      <c r="AC638" s="11" t="s">
        <v>79</v>
      </c>
      <c r="AD638" s="51">
        <f>M638/2-U638-X638</f>
        <v>-1218.8688976444398</v>
      </c>
      <c r="AE638" s="51"/>
      <c r="AF638" s="51"/>
      <c r="AG638" s="51"/>
      <c r="AH638" s="51"/>
      <c r="AI638" s="51"/>
      <c r="AJ638" s="10" t="s">
        <v>145</v>
      </c>
      <c r="AK638" s="11"/>
      <c r="AL638" s="11"/>
      <c r="AM638" s="11"/>
      <c r="AN638" s="11"/>
      <c r="AO638" s="11"/>
      <c r="AP638" s="11"/>
      <c r="AQ638" s="11"/>
      <c r="AR638" s="11"/>
      <c r="AS638" s="11"/>
      <c r="AT638" s="11"/>
    </row>
    <row r="639" spans="1:46" ht="18" customHeight="1">
      <c r="A639" s="11"/>
      <c r="B639" s="11"/>
      <c r="C639" s="11" t="s">
        <v>148</v>
      </c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51">
        <f>AD638</f>
        <v>-1218.8688976444398</v>
      </c>
      <c r="Q639" s="51"/>
      <c r="R639" s="51"/>
      <c r="S639" s="51"/>
      <c r="T639" s="51"/>
      <c r="U639" s="11" t="s">
        <v>149</v>
      </c>
      <c r="V639" s="51">
        <f>(AG589+AG596+AG597)*1000</f>
        <v>2630.0000000000005</v>
      </c>
      <c r="W639" s="51"/>
      <c r="X639" s="51"/>
      <c r="Y639" s="51"/>
      <c r="Z639" s="11" t="s">
        <v>79</v>
      </c>
      <c r="AA639" s="51">
        <f>P639+V639</f>
        <v>1411.1311023555606</v>
      </c>
      <c r="AB639" s="51"/>
      <c r="AC639" s="51"/>
      <c r="AD639" s="51"/>
      <c r="AE639" s="51"/>
      <c r="AF639" s="10" t="s">
        <v>145</v>
      </c>
      <c r="AG639" s="11"/>
      <c r="AH639" s="11"/>
      <c r="AI639" s="11"/>
      <c r="AJ639" s="11"/>
      <c r="AK639" s="11"/>
      <c r="AL639" s="11"/>
      <c r="AM639" s="11"/>
      <c r="AN639" s="11"/>
      <c r="AO639" s="11"/>
      <c r="AP639" s="11"/>
      <c r="AQ639" s="11"/>
      <c r="AR639" s="11"/>
      <c r="AS639" s="11"/>
      <c r="AT639" s="11"/>
    </row>
    <row r="640" spans="1:46" ht="18" customHeight="1">
      <c r="A640" s="11"/>
      <c r="B640" s="11"/>
      <c r="C640" s="11" t="s">
        <v>150</v>
      </c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 t="s">
        <v>151</v>
      </c>
      <c r="AB640" s="219">
        <f>((AG590+AM590+AG591)/2+AG598)*(AG589+AG596/2+AG597/2)*1000000</f>
        <v>5909899.999999998</v>
      </c>
      <c r="AC640" s="219"/>
      <c r="AD640" s="219"/>
      <c r="AE640" s="219"/>
      <c r="AF640" s="219"/>
      <c r="AG640" s="11" t="s">
        <v>142</v>
      </c>
      <c r="AH640" s="11"/>
      <c r="AI640" s="11"/>
      <c r="AJ640" s="11"/>
      <c r="AK640" s="11"/>
      <c r="AL640" s="11"/>
      <c r="AM640" s="11"/>
      <c r="AN640" s="11"/>
      <c r="AO640" s="11"/>
      <c r="AP640" s="11"/>
      <c r="AQ640" s="11"/>
      <c r="AR640" s="11"/>
      <c r="AS640" s="11"/>
      <c r="AT640" s="11"/>
    </row>
    <row r="641" spans="1:46" ht="18" customHeight="1">
      <c r="A641" s="11"/>
      <c r="B641" s="11"/>
      <c r="C641" s="11" t="s">
        <v>55</v>
      </c>
      <c r="D641" s="11"/>
      <c r="E641" s="11"/>
      <c r="F641" s="11"/>
      <c r="G641" s="11"/>
      <c r="H641" s="11"/>
      <c r="I641" s="11"/>
      <c r="J641" s="11"/>
      <c r="K641" s="11"/>
      <c r="L641" s="11"/>
      <c r="M641" s="51">
        <f>AG605*1000000*P639/AD637</f>
        <v>-32.12875567629739</v>
      </c>
      <c r="N641" s="51"/>
      <c r="O641" s="51"/>
      <c r="P641" s="51"/>
      <c r="Q641" s="51"/>
      <c r="R641" s="11" t="s">
        <v>28</v>
      </c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  <c r="AE641" s="11"/>
      <c r="AF641" s="11"/>
      <c r="AG641" s="11"/>
      <c r="AH641" s="11"/>
      <c r="AI641" s="11"/>
      <c r="AJ641" s="11"/>
      <c r="AK641" s="11"/>
      <c r="AL641" s="11"/>
      <c r="AM641" s="11"/>
      <c r="AN641" s="11"/>
      <c r="AO641" s="11"/>
      <c r="AP641" s="11"/>
      <c r="AQ641" s="11"/>
      <c r="AR641" s="11"/>
      <c r="AS641" s="11"/>
      <c r="AT641" s="11"/>
    </row>
    <row r="642" spans="1:46" ht="18" customHeight="1">
      <c r="A642" s="11"/>
      <c r="B642" s="11"/>
      <c r="C642" s="11" t="s">
        <v>56</v>
      </c>
      <c r="D642" s="11"/>
      <c r="E642" s="11"/>
      <c r="F642" s="11"/>
      <c r="G642" s="11"/>
      <c r="H642" s="11"/>
      <c r="I642" s="11"/>
      <c r="J642" s="11"/>
      <c r="K642" s="11"/>
      <c r="L642" s="11"/>
      <c r="M642" s="51">
        <f>AG605*1000000*AA639/AD637</f>
        <v>37.19668825943877</v>
      </c>
      <c r="N642" s="51"/>
      <c r="O642" s="51"/>
      <c r="P642" s="51"/>
      <c r="Q642" s="51"/>
      <c r="R642" s="11" t="s">
        <v>28</v>
      </c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  <c r="AG642" s="11"/>
      <c r="AH642" s="11"/>
      <c r="AI642" s="11"/>
      <c r="AJ642" s="11"/>
      <c r="AK642" s="11"/>
      <c r="AL642" s="11"/>
      <c r="AM642" s="11"/>
      <c r="AN642" s="11"/>
      <c r="AO642" s="11"/>
      <c r="AP642" s="11"/>
      <c r="AQ642" s="11"/>
      <c r="AR642" s="11"/>
      <c r="AS642" s="11"/>
      <c r="AT642" s="11"/>
    </row>
    <row r="643" spans="1:45" ht="18" customHeight="1">
      <c r="A643" s="11"/>
      <c r="B643" s="11"/>
      <c r="C643" s="11" t="s">
        <v>57</v>
      </c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51">
        <f>ABS(AG607)*1000/(Q616+Q617)+ABS(AG609)*1000000/(2*AB640*AG598*1000)</f>
        <v>5.014431258570567</v>
      </c>
      <c r="T643" s="51"/>
      <c r="U643" s="51"/>
      <c r="V643" s="51"/>
      <c r="W643" s="51"/>
      <c r="X643" s="11" t="s">
        <v>28</v>
      </c>
      <c r="Y643" s="11"/>
      <c r="Z643" s="11"/>
      <c r="AA643" s="11"/>
      <c r="AB643" s="11"/>
      <c r="AC643" s="11"/>
      <c r="AD643" s="11"/>
      <c r="AE643" s="11"/>
      <c r="AF643" s="11"/>
      <c r="AG643" s="11"/>
      <c r="AH643" s="11"/>
      <c r="AI643" s="11"/>
      <c r="AJ643" s="11"/>
      <c r="AK643" s="11"/>
      <c r="AL643" s="11"/>
      <c r="AM643" s="11"/>
      <c r="AN643" s="11"/>
      <c r="AO643" s="11"/>
      <c r="AP643" s="11"/>
      <c r="AQ643" s="11"/>
      <c r="AR643" s="11"/>
      <c r="AS643" s="11"/>
    </row>
    <row r="644" spans="1:45" ht="18" customHeight="1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  <c r="AE644" s="11"/>
      <c r="AF644" s="11"/>
      <c r="AG644" s="11"/>
      <c r="AH644" s="11"/>
      <c r="AI644" s="11"/>
      <c r="AJ644" s="11"/>
      <c r="AK644" s="11"/>
      <c r="AL644" s="11"/>
      <c r="AM644" s="11"/>
      <c r="AN644" s="11"/>
      <c r="AO644" s="11"/>
      <c r="AP644" s="11"/>
      <c r="AQ644" s="11"/>
      <c r="AR644" s="11"/>
      <c r="AS644" s="11"/>
    </row>
    <row r="645" spans="1:45" ht="18" customHeight="1">
      <c r="A645" s="11"/>
      <c r="B645" s="11" t="s">
        <v>58</v>
      </c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  <c r="AE645" s="11"/>
      <c r="AF645" s="11"/>
      <c r="AG645" s="11"/>
      <c r="AH645" s="11"/>
      <c r="AI645" s="11"/>
      <c r="AJ645" s="11"/>
      <c r="AK645" s="11"/>
      <c r="AL645" s="11"/>
      <c r="AM645" s="11"/>
      <c r="AN645" s="11"/>
      <c r="AO645" s="11"/>
      <c r="AP645" s="11"/>
      <c r="AQ645" s="11"/>
      <c r="AR645" s="11"/>
      <c r="AS645" s="11"/>
    </row>
    <row r="646" spans="1:45" ht="18" customHeight="1">
      <c r="A646" s="11"/>
      <c r="B646" s="11"/>
      <c r="C646" s="11" t="s">
        <v>105</v>
      </c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51">
        <f>AG606*1000000/AD637*AD638</f>
        <v>-20.54101670480615</v>
      </c>
      <c r="O646" s="51"/>
      <c r="P646" s="51"/>
      <c r="Q646" s="51"/>
      <c r="R646" s="51"/>
      <c r="S646" s="11" t="s">
        <v>28</v>
      </c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  <c r="AG646" s="11"/>
      <c r="AH646" s="11"/>
      <c r="AI646" s="11"/>
      <c r="AJ646" s="11"/>
      <c r="AK646" s="11"/>
      <c r="AL646" s="11"/>
      <c r="AM646" s="11"/>
      <c r="AN646" s="11"/>
      <c r="AO646" s="11"/>
      <c r="AP646" s="11"/>
      <c r="AQ646" s="11"/>
      <c r="AR646" s="11"/>
      <c r="AS646" s="11"/>
    </row>
    <row r="647" spans="1:45" ht="18" customHeight="1">
      <c r="A647" s="11"/>
      <c r="B647" s="11"/>
      <c r="C647" s="11" t="s">
        <v>106</v>
      </c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51">
        <f>AG606*1000000/AD637*AA639</f>
        <v>23.781120022157385</v>
      </c>
      <c r="O647" s="51"/>
      <c r="P647" s="51"/>
      <c r="Q647" s="51"/>
      <c r="R647" s="51"/>
      <c r="S647" s="11" t="s">
        <v>28</v>
      </c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  <c r="AE647" s="11"/>
      <c r="AF647" s="11"/>
      <c r="AG647" s="11"/>
      <c r="AH647" s="11"/>
      <c r="AI647" s="11"/>
      <c r="AJ647" s="11"/>
      <c r="AK647" s="11"/>
      <c r="AL647" s="11"/>
      <c r="AM647" s="11"/>
      <c r="AN647" s="11"/>
      <c r="AO647" s="11"/>
      <c r="AP647" s="11"/>
      <c r="AQ647" s="11"/>
      <c r="AR647" s="11"/>
      <c r="AS647" s="11"/>
    </row>
    <row r="648" spans="1:45" ht="18" customHeight="1">
      <c r="A648" s="11"/>
      <c r="B648" s="11"/>
      <c r="C648" s="11" t="s">
        <v>107</v>
      </c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51">
        <f>ABS(AG608)*1000/(Q616+Q617)+ABS(AG610)*100000/(2*AB640*AG598*100)</f>
        <v>8.896801099893779</v>
      </c>
      <c r="T648" s="51"/>
      <c r="U648" s="51"/>
      <c r="V648" s="51"/>
      <c r="W648" s="51"/>
      <c r="X648" s="11" t="s">
        <v>28</v>
      </c>
      <c r="Y648" s="11"/>
      <c r="Z648" s="11"/>
      <c r="AA648" s="11"/>
      <c r="AB648" s="11"/>
      <c r="AC648" s="11"/>
      <c r="AD648" s="11"/>
      <c r="AE648" s="11"/>
      <c r="AF648" s="11"/>
      <c r="AG648" s="11"/>
      <c r="AH648" s="11"/>
      <c r="AI648" s="11"/>
      <c r="AJ648" s="11"/>
      <c r="AK648" s="11"/>
      <c r="AL648" s="11"/>
      <c r="AM648" s="11"/>
      <c r="AN648" s="11"/>
      <c r="AO648" s="11"/>
      <c r="AP648" s="11"/>
      <c r="AQ648" s="11"/>
      <c r="AR648" s="11"/>
      <c r="AS648" s="11"/>
    </row>
    <row r="649" spans="1:45" ht="18" customHeight="1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  <c r="AE649" s="11"/>
      <c r="AF649" s="11"/>
      <c r="AG649" s="11"/>
      <c r="AH649" s="11"/>
      <c r="AI649" s="11"/>
      <c r="AJ649" s="11"/>
      <c r="AK649" s="11"/>
      <c r="AL649" s="11"/>
      <c r="AM649" s="11"/>
      <c r="AN649" s="11"/>
      <c r="AO649" s="11"/>
      <c r="AP649" s="11"/>
      <c r="AQ649" s="11"/>
      <c r="AR649" s="11"/>
      <c r="AS649" s="11"/>
    </row>
    <row r="650" spans="1:54" ht="18" customHeight="1">
      <c r="A650" s="11"/>
      <c r="B650" s="11" t="s">
        <v>59</v>
      </c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  <c r="AE650" s="11"/>
      <c r="AF650" s="11"/>
      <c r="AG650" s="11"/>
      <c r="AH650" s="11"/>
      <c r="AI650" s="11"/>
      <c r="AJ650" s="11"/>
      <c r="AK650" s="11"/>
      <c r="AL650" s="11"/>
      <c r="AM650" s="11"/>
      <c r="AN650" s="11"/>
      <c r="AO650" s="11"/>
      <c r="AP650" s="11"/>
      <c r="AQ650" s="11"/>
      <c r="AR650" s="11"/>
      <c r="AS650" s="11"/>
      <c r="AU650" s="12" t="s">
        <v>32</v>
      </c>
      <c r="AV650" s="12"/>
      <c r="AW650" s="12"/>
      <c r="AX650" s="12"/>
      <c r="AY650" s="12"/>
      <c r="AZ650" s="12"/>
      <c r="BA650" s="12"/>
      <c r="BB650" s="12"/>
    </row>
    <row r="651" spans="1:88" ht="18" customHeight="1">
      <c r="A651" s="11"/>
      <c r="B651" s="11"/>
      <c r="C651" s="11" t="s">
        <v>108</v>
      </c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51">
        <f>ABS((AG607+AG608)*1000/(Q616+Q617))+ABS((AG609+AG610)/(2*AB640*AG598*1000))*1000000</f>
        <v>13.911232358464344</v>
      </c>
      <c r="AA651" s="51"/>
      <c r="AB651" s="51"/>
      <c r="AC651" s="51"/>
      <c r="AD651" s="11" t="s">
        <v>28</v>
      </c>
      <c r="AE651" s="11"/>
      <c r="AF651" s="11" t="s">
        <v>86</v>
      </c>
      <c r="AG651" s="11" t="s">
        <v>87</v>
      </c>
      <c r="AH651" s="11"/>
      <c r="AI651" s="11"/>
      <c r="AJ651" s="220">
        <f>HLOOKUP(AG587,AX651:CJ654,AU651,FALSE)</f>
        <v>120</v>
      </c>
      <c r="AK651" s="51"/>
      <c r="AL651" s="51"/>
      <c r="AM651" s="11" t="s">
        <v>28</v>
      </c>
      <c r="AN651" s="11"/>
      <c r="AO651" s="11"/>
      <c r="AP651" s="11" t="str">
        <f>IF(Z651&lt;AJ651,"O.K.","N.G.")</f>
        <v>O.K.</v>
      </c>
      <c r="AQ651" s="11"/>
      <c r="AR651" s="11"/>
      <c r="AS651" s="11"/>
      <c r="AU651" s="221">
        <f>IF(AG598&lt;=0.04,2,IF(AG598&lt;=0.075,3,4))</f>
        <v>2</v>
      </c>
      <c r="AV651" s="222"/>
      <c r="AW651" s="223"/>
      <c r="AX651" s="43" t="s">
        <v>4</v>
      </c>
      <c r="AY651" s="44"/>
      <c r="AZ651" s="45"/>
      <c r="BA651" s="43" t="s">
        <v>5</v>
      </c>
      <c r="BB651" s="44"/>
      <c r="BC651" s="45"/>
      <c r="BD651" s="43" t="s">
        <v>6</v>
      </c>
      <c r="BE651" s="44"/>
      <c r="BF651" s="45"/>
      <c r="BG651" s="43" t="s">
        <v>7</v>
      </c>
      <c r="BH651" s="44"/>
      <c r="BI651" s="45"/>
      <c r="BJ651" s="43" t="s">
        <v>88</v>
      </c>
      <c r="BK651" s="44"/>
      <c r="BL651" s="45"/>
      <c r="BM651" s="224" t="s">
        <v>8</v>
      </c>
      <c r="BN651" s="225"/>
      <c r="BO651" s="226"/>
      <c r="BP651" s="43" t="s">
        <v>9</v>
      </c>
      <c r="BQ651" s="44"/>
      <c r="BR651" s="45"/>
      <c r="BS651" s="43" t="s">
        <v>10</v>
      </c>
      <c r="BT651" s="44"/>
      <c r="BU651" s="45"/>
      <c r="BV651" s="43" t="s">
        <v>11</v>
      </c>
      <c r="BW651" s="44"/>
      <c r="BX651" s="45"/>
      <c r="BY651" s="224" t="s">
        <v>12</v>
      </c>
      <c r="BZ651" s="225"/>
      <c r="CA651" s="226"/>
      <c r="CB651" s="43" t="s">
        <v>13</v>
      </c>
      <c r="CC651" s="44"/>
      <c r="CD651" s="45"/>
      <c r="CE651" s="43" t="s">
        <v>14</v>
      </c>
      <c r="CF651" s="44"/>
      <c r="CG651" s="45"/>
      <c r="CH651" s="224" t="s">
        <v>15</v>
      </c>
      <c r="CI651" s="225"/>
      <c r="CJ651" s="226"/>
    </row>
    <row r="652" spans="1:88" ht="18" customHeight="1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  <c r="AE652" s="11"/>
      <c r="AF652" s="11"/>
      <c r="AG652" s="11"/>
      <c r="AH652" s="11"/>
      <c r="AI652" s="11"/>
      <c r="AJ652" s="11"/>
      <c r="AK652" s="11"/>
      <c r="AL652" s="11"/>
      <c r="AM652" s="11"/>
      <c r="AN652" s="11"/>
      <c r="AO652" s="11"/>
      <c r="AP652" s="11"/>
      <c r="AQ652" s="11"/>
      <c r="AR652" s="11"/>
      <c r="AS652" s="11"/>
      <c r="AU652" s="36">
        <v>40</v>
      </c>
      <c r="AV652" s="37"/>
      <c r="AW652" s="38"/>
      <c r="AX652" s="36">
        <v>80</v>
      </c>
      <c r="AY652" s="37"/>
      <c r="AZ652" s="38"/>
      <c r="BA652" s="36">
        <f>AX652</f>
        <v>80</v>
      </c>
      <c r="BB652" s="37"/>
      <c r="BC652" s="38"/>
      <c r="BD652" s="36">
        <f>AX652</f>
        <v>80</v>
      </c>
      <c r="BE652" s="37"/>
      <c r="BF652" s="38"/>
      <c r="BG652" s="36">
        <v>80</v>
      </c>
      <c r="BH652" s="37"/>
      <c r="BI652" s="38"/>
      <c r="BJ652" s="36">
        <v>105</v>
      </c>
      <c r="BK652" s="37"/>
      <c r="BL652" s="38"/>
      <c r="BM652" s="36">
        <v>105</v>
      </c>
      <c r="BN652" s="37"/>
      <c r="BO652" s="38"/>
      <c r="BP652" s="36">
        <v>120</v>
      </c>
      <c r="BQ652" s="37"/>
      <c r="BR652" s="38"/>
      <c r="BS652" s="36">
        <f>BP652</f>
        <v>120</v>
      </c>
      <c r="BT652" s="37"/>
      <c r="BU652" s="38"/>
      <c r="BV652" s="36">
        <f>BP652</f>
        <v>120</v>
      </c>
      <c r="BW652" s="37"/>
      <c r="BX652" s="38"/>
      <c r="BY652" s="36">
        <v>120</v>
      </c>
      <c r="BZ652" s="37"/>
      <c r="CA652" s="38"/>
      <c r="CB652" s="36">
        <v>145</v>
      </c>
      <c r="CC652" s="37"/>
      <c r="CD652" s="38"/>
      <c r="CE652" s="36">
        <f>CB652</f>
        <v>145</v>
      </c>
      <c r="CF652" s="37"/>
      <c r="CG652" s="38"/>
      <c r="CH652" s="36">
        <v>145</v>
      </c>
      <c r="CI652" s="37"/>
      <c r="CJ652" s="38"/>
    </row>
    <row r="653" spans="1:88" ht="18" customHeight="1">
      <c r="A653" s="11"/>
      <c r="B653" s="11" t="s">
        <v>60</v>
      </c>
      <c r="C653" s="11"/>
      <c r="D653" s="11"/>
      <c r="E653" s="11"/>
      <c r="F653" s="11"/>
      <c r="G653" s="11"/>
      <c r="H653" s="11"/>
      <c r="I653" s="11"/>
      <c r="J653" s="11"/>
      <c r="K653" s="227"/>
      <c r="L653" s="11"/>
      <c r="M653" s="11"/>
      <c r="N653" s="11"/>
      <c r="O653" s="11"/>
      <c r="P653" s="11"/>
      <c r="Q653" s="11"/>
      <c r="R653" s="11"/>
      <c r="S653" s="11"/>
      <c r="T653" s="11"/>
      <c r="V653" s="11"/>
      <c r="W653" s="11"/>
      <c r="X653" s="11"/>
      <c r="Y653" s="11"/>
      <c r="Z653" s="11"/>
      <c r="AA653" s="11"/>
      <c r="AB653" s="11"/>
      <c r="AC653" s="11"/>
      <c r="AD653" s="11"/>
      <c r="AE653" s="11"/>
      <c r="AF653" s="11"/>
      <c r="AG653" s="11"/>
      <c r="AH653" s="11"/>
      <c r="AI653" s="11"/>
      <c r="AJ653" s="11"/>
      <c r="AK653" s="11"/>
      <c r="AL653" s="11"/>
      <c r="AM653" s="11"/>
      <c r="AN653" s="11"/>
      <c r="AO653" s="11"/>
      <c r="AP653" s="11"/>
      <c r="AQ653" s="11"/>
      <c r="AR653" s="11"/>
      <c r="AS653" s="11"/>
      <c r="AU653" s="228" t="s">
        <v>16</v>
      </c>
      <c r="AV653" s="229"/>
      <c r="AW653" s="230"/>
      <c r="AX653" s="36">
        <v>75</v>
      </c>
      <c r="AY653" s="37"/>
      <c r="AZ653" s="38"/>
      <c r="BA653" s="36">
        <f>AX653</f>
        <v>75</v>
      </c>
      <c r="BB653" s="37"/>
      <c r="BC653" s="38"/>
      <c r="BD653" s="36">
        <f>AX653</f>
        <v>75</v>
      </c>
      <c r="BE653" s="37"/>
      <c r="BF653" s="38"/>
      <c r="BG653" s="36">
        <v>80</v>
      </c>
      <c r="BH653" s="37"/>
      <c r="BI653" s="38"/>
      <c r="BJ653" s="36">
        <v>100</v>
      </c>
      <c r="BK653" s="37"/>
      <c r="BL653" s="38"/>
      <c r="BM653" s="36">
        <v>105</v>
      </c>
      <c r="BN653" s="37"/>
      <c r="BO653" s="38"/>
      <c r="BP653" s="36">
        <v>115</v>
      </c>
      <c r="BQ653" s="37"/>
      <c r="BR653" s="38"/>
      <c r="BS653" s="36">
        <f>BP653</f>
        <v>115</v>
      </c>
      <c r="BT653" s="37"/>
      <c r="BU653" s="38"/>
      <c r="BV653" s="36">
        <f>BP653</f>
        <v>115</v>
      </c>
      <c r="BW653" s="37"/>
      <c r="BX653" s="38"/>
      <c r="BY653" s="36">
        <v>120</v>
      </c>
      <c r="BZ653" s="37"/>
      <c r="CA653" s="38"/>
      <c r="CB653" s="36">
        <v>140</v>
      </c>
      <c r="CC653" s="37"/>
      <c r="CD653" s="38"/>
      <c r="CE653" s="36">
        <f>CB653</f>
        <v>140</v>
      </c>
      <c r="CF653" s="37"/>
      <c r="CG653" s="38"/>
      <c r="CH653" s="36">
        <v>145</v>
      </c>
      <c r="CI653" s="37"/>
      <c r="CJ653" s="38"/>
    </row>
    <row r="654" spans="1:88" ht="18" customHeight="1">
      <c r="A654" s="11"/>
      <c r="B654" s="11"/>
      <c r="C654" s="11" t="s">
        <v>301</v>
      </c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  <c r="AG654" s="11"/>
      <c r="AH654" s="11"/>
      <c r="AI654" s="11"/>
      <c r="AJ654" s="11"/>
      <c r="AK654" s="11"/>
      <c r="AL654" s="11"/>
      <c r="AM654" s="11"/>
      <c r="AN654" s="11"/>
      <c r="AO654" s="11"/>
      <c r="AP654" s="11"/>
      <c r="AQ654" s="11"/>
      <c r="AR654" s="11"/>
      <c r="AS654" s="11"/>
      <c r="AU654" s="228" t="s">
        <v>17</v>
      </c>
      <c r="AV654" s="229"/>
      <c r="AW654" s="230"/>
      <c r="AX654" s="36">
        <v>75</v>
      </c>
      <c r="AY654" s="37"/>
      <c r="AZ654" s="38"/>
      <c r="BA654" s="36">
        <f>AX654</f>
        <v>75</v>
      </c>
      <c r="BB654" s="37"/>
      <c r="BC654" s="38"/>
      <c r="BD654" s="36">
        <f>AX654</f>
        <v>75</v>
      </c>
      <c r="BE654" s="37"/>
      <c r="BF654" s="38"/>
      <c r="BG654" s="36">
        <v>80</v>
      </c>
      <c r="BH654" s="37"/>
      <c r="BI654" s="38"/>
      <c r="BJ654" s="36">
        <v>100</v>
      </c>
      <c r="BK654" s="37"/>
      <c r="BL654" s="38"/>
      <c r="BM654" s="36">
        <v>105</v>
      </c>
      <c r="BN654" s="37"/>
      <c r="BO654" s="38"/>
      <c r="BP654" s="36">
        <v>110</v>
      </c>
      <c r="BQ654" s="37"/>
      <c r="BR654" s="38"/>
      <c r="BS654" s="36">
        <f>BP654</f>
        <v>110</v>
      </c>
      <c r="BT654" s="37"/>
      <c r="BU654" s="38"/>
      <c r="BV654" s="36">
        <f>BP654</f>
        <v>110</v>
      </c>
      <c r="BW654" s="37"/>
      <c r="BX654" s="38"/>
      <c r="BY654" s="36">
        <v>120</v>
      </c>
      <c r="BZ654" s="37"/>
      <c r="CA654" s="38"/>
      <c r="CB654" s="36">
        <v>135</v>
      </c>
      <c r="CC654" s="37"/>
      <c r="CD654" s="38"/>
      <c r="CE654" s="36">
        <f>CB654</f>
        <v>135</v>
      </c>
      <c r="CF654" s="37"/>
      <c r="CG654" s="38"/>
      <c r="CH654" s="36">
        <v>145</v>
      </c>
      <c r="CI654" s="37"/>
      <c r="CJ654" s="38"/>
    </row>
    <row r="655" spans="1:57" ht="18" customHeight="1">
      <c r="A655" s="11"/>
      <c r="B655" s="11"/>
      <c r="C655" s="11"/>
      <c r="D655" s="11" t="s">
        <v>79</v>
      </c>
      <c r="E655" s="51">
        <v>0.65</v>
      </c>
      <c r="F655" s="51"/>
      <c r="G655" s="51"/>
      <c r="H655" s="11" t="s">
        <v>83</v>
      </c>
      <c r="I655" s="11" t="s">
        <v>85</v>
      </c>
      <c r="J655" s="219">
        <v>0</v>
      </c>
      <c r="K655" s="51"/>
      <c r="L655" s="11" t="s">
        <v>81</v>
      </c>
      <c r="M655" s="220">
        <f>IF((AG605+AG606)&gt;=0,C615+1,C618+1)</f>
        <v>6</v>
      </c>
      <c r="N655" s="51"/>
      <c r="O655" s="11" t="s">
        <v>302</v>
      </c>
      <c r="P655" s="11" t="s">
        <v>78</v>
      </c>
      <c r="Q655" s="51">
        <v>0.13</v>
      </c>
      <c r="R655" s="51"/>
      <c r="S655" s="51"/>
      <c r="T655" s="11" t="s">
        <v>83</v>
      </c>
      <c r="U655" s="11" t="s">
        <v>85</v>
      </c>
      <c r="V655" s="219">
        <v>0</v>
      </c>
      <c r="W655" s="51"/>
      <c r="X655" s="11" t="s">
        <v>81</v>
      </c>
      <c r="Y655" s="220">
        <f>M655</f>
        <v>6</v>
      </c>
      <c r="Z655" s="51"/>
      <c r="AA655" s="11" t="s">
        <v>89</v>
      </c>
      <c r="AB655" s="11" t="s">
        <v>78</v>
      </c>
      <c r="AC655" s="219">
        <v>1</v>
      </c>
      <c r="AD655" s="51"/>
      <c r="AE655" s="11" t="s">
        <v>79</v>
      </c>
      <c r="AF655" s="51">
        <v>1</v>
      </c>
      <c r="AG655" s="51"/>
      <c r="AH655" s="51"/>
      <c r="AI655" s="51"/>
      <c r="AJ655" s="11"/>
      <c r="AK655" s="11"/>
      <c r="AL655" s="11"/>
      <c r="AM655" s="11"/>
      <c r="AN655" s="11"/>
      <c r="AO655" s="11"/>
      <c r="AP655" s="11"/>
      <c r="AQ655" s="11"/>
      <c r="AR655" s="11"/>
      <c r="AS655" s="11"/>
      <c r="AU655" s="13" t="s">
        <v>33</v>
      </c>
      <c r="AV655" s="13"/>
      <c r="AW655" s="13"/>
      <c r="AX655" s="13"/>
      <c r="AY655" s="13"/>
      <c r="AZ655" s="13"/>
      <c r="BA655" s="13"/>
      <c r="BB655" s="13"/>
      <c r="BC655" s="13"/>
      <c r="BD655" s="13"/>
      <c r="BE655" s="13"/>
    </row>
    <row r="656" spans="1:88" ht="18" customHeight="1">
      <c r="A656" s="11"/>
      <c r="B656" s="11"/>
      <c r="C656" s="11"/>
      <c r="D656" s="11" t="s">
        <v>34</v>
      </c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  <c r="AE656" s="11"/>
      <c r="AF656" s="11"/>
      <c r="AG656" s="11"/>
      <c r="AH656" s="11"/>
      <c r="AI656" s="11"/>
      <c r="AJ656" s="11"/>
      <c r="AK656" s="11"/>
      <c r="AL656" s="11"/>
      <c r="AM656" s="11"/>
      <c r="AN656" s="11"/>
      <c r="AO656" s="11"/>
      <c r="AP656" s="11"/>
      <c r="AQ656" s="11"/>
      <c r="AR656" s="11"/>
      <c r="AS656" s="231"/>
      <c r="AU656" s="36">
        <f>IF(AG597&lt;=0.04,2,IF(AG597&lt;=0.075,3,4))</f>
        <v>2</v>
      </c>
      <c r="AV656" s="37"/>
      <c r="AW656" s="38"/>
      <c r="AX656" s="43" t="s">
        <v>4</v>
      </c>
      <c r="AY656" s="44"/>
      <c r="AZ656" s="45"/>
      <c r="BA656" s="43" t="s">
        <v>5</v>
      </c>
      <c r="BB656" s="44"/>
      <c r="BC656" s="45"/>
      <c r="BD656" s="43" t="s">
        <v>6</v>
      </c>
      <c r="BE656" s="44"/>
      <c r="BF656" s="45"/>
      <c r="BG656" s="43" t="s">
        <v>7</v>
      </c>
      <c r="BH656" s="44"/>
      <c r="BI656" s="45"/>
      <c r="BJ656" s="43" t="s">
        <v>88</v>
      </c>
      <c r="BK656" s="44"/>
      <c r="BL656" s="45"/>
      <c r="BM656" s="224" t="s">
        <v>8</v>
      </c>
      <c r="BN656" s="225"/>
      <c r="BO656" s="226"/>
      <c r="BP656" s="43" t="s">
        <v>9</v>
      </c>
      <c r="BQ656" s="44"/>
      <c r="BR656" s="45"/>
      <c r="BS656" s="43" t="s">
        <v>10</v>
      </c>
      <c r="BT656" s="44"/>
      <c r="BU656" s="45"/>
      <c r="BV656" s="43" t="s">
        <v>11</v>
      </c>
      <c r="BW656" s="44"/>
      <c r="BX656" s="45"/>
      <c r="BY656" s="224" t="s">
        <v>12</v>
      </c>
      <c r="BZ656" s="225"/>
      <c r="CA656" s="226"/>
      <c r="CB656" s="43" t="s">
        <v>13</v>
      </c>
      <c r="CC656" s="44"/>
      <c r="CD656" s="45"/>
      <c r="CE656" s="43" t="s">
        <v>14</v>
      </c>
      <c r="CF656" s="44"/>
      <c r="CG656" s="45"/>
      <c r="CH656" s="224" t="s">
        <v>15</v>
      </c>
      <c r="CI656" s="225"/>
      <c r="CJ656" s="226"/>
    </row>
    <row r="657" spans="1:88" ht="18" customHeight="1">
      <c r="A657" s="11"/>
      <c r="B657" s="11"/>
      <c r="C657" s="11"/>
      <c r="D657" s="11" t="s">
        <v>18</v>
      </c>
      <c r="E657" s="11"/>
      <c r="F657" s="11"/>
      <c r="G657" s="11"/>
      <c r="H657" s="11" t="s">
        <v>19</v>
      </c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  <c r="AE657" s="11"/>
      <c r="AF657" s="11"/>
      <c r="AG657" s="11"/>
      <c r="AH657" s="11"/>
      <c r="AI657" s="11"/>
      <c r="AJ657" s="11"/>
      <c r="AK657" s="11"/>
      <c r="AL657" s="11"/>
      <c r="AM657" s="11"/>
      <c r="AN657" s="11"/>
      <c r="AO657" s="11"/>
      <c r="AP657" s="11"/>
      <c r="AQ657" s="11"/>
      <c r="AR657" s="11"/>
      <c r="AS657" s="231"/>
      <c r="AU657" s="36">
        <v>40</v>
      </c>
      <c r="AV657" s="37"/>
      <c r="AW657" s="38"/>
      <c r="AX657" s="36">
        <v>140</v>
      </c>
      <c r="AY657" s="37"/>
      <c r="AZ657" s="38"/>
      <c r="BA657" s="36">
        <f>AX657</f>
        <v>140</v>
      </c>
      <c r="BB657" s="37"/>
      <c r="BC657" s="38"/>
      <c r="BD657" s="36">
        <f>AX657</f>
        <v>140</v>
      </c>
      <c r="BE657" s="37"/>
      <c r="BF657" s="38"/>
      <c r="BG657" s="36">
        <v>140</v>
      </c>
      <c r="BH657" s="37"/>
      <c r="BI657" s="38"/>
      <c r="BJ657" s="36">
        <v>185</v>
      </c>
      <c r="BK657" s="37"/>
      <c r="BL657" s="38"/>
      <c r="BM657" s="36">
        <f>BJ657</f>
        <v>185</v>
      </c>
      <c r="BN657" s="37"/>
      <c r="BO657" s="38"/>
      <c r="BP657" s="36">
        <v>210</v>
      </c>
      <c r="BQ657" s="37"/>
      <c r="BR657" s="38"/>
      <c r="BS657" s="36">
        <f>BP657</f>
        <v>210</v>
      </c>
      <c r="BT657" s="37"/>
      <c r="BU657" s="38"/>
      <c r="BV657" s="36">
        <f>BP657</f>
        <v>210</v>
      </c>
      <c r="BW657" s="37"/>
      <c r="BX657" s="38"/>
      <c r="BY657" s="36">
        <v>210</v>
      </c>
      <c r="BZ657" s="37"/>
      <c r="CA657" s="38"/>
      <c r="CB657" s="36">
        <v>255</v>
      </c>
      <c r="CC657" s="37"/>
      <c r="CD657" s="38"/>
      <c r="CE657" s="36">
        <f>CB657</f>
        <v>255</v>
      </c>
      <c r="CF657" s="37"/>
      <c r="CG657" s="38"/>
      <c r="CH657" s="36">
        <f>CE657</f>
        <v>255</v>
      </c>
      <c r="CI657" s="37"/>
      <c r="CJ657" s="38"/>
    </row>
    <row r="658" spans="1:88" ht="18" customHeight="1">
      <c r="A658" s="11"/>
      <c r="B658" s="11"/>
      <c r="C658" s="11"/>
      <c r="D658" s="11"/>
      <c r="E658" s="11"/>
      <c r="F658" s="11"/>
      <c r="G658" s="11"/>
      <c r="H658" s="11" t="s">
        <v>20</v>
      </c>
      <c r="I658" s="11"/>
      <c r="J658" s="11"/>
      <c r="K658" s="11"/>
      <c r="L658" s="11"/>
      <c r="M658" s="11"/>
      <c r="N658" s="11"/>
      <c r="O658" s="11"/>
      <c r="P658" s="11"/>
      <c r="Q658" s="11" t="s">
        <v>21</v>
      </c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  <c r="AE658" s="11"/>
      <c r="AF658" s="11"/>
      <c r="AG658" s="11"/>
      <c r="AH658" s="11"/>
      <c r="AI658" s="11"/>
      <c r="AJ658" s="11"/>
      <c r="AK658" s="11"/>
      <c r="AL658" s="11"/>
      <c r="AM658" s="11"/>
      <c r="AN658" s="11"/>
      <c r="AO658" s="11"/>
      <c r="AP658" s="11"/>
      <c r="AQ658" s="11"/>
      <c r="AR658" s="11"/>
      <c r="AS658" s="231"/>
      <c r="AU658" s="228" t="s">
        <v>16</v>
      </c>
      <c r="AV658" s="229"/>
      <c r="AW658" s="230"/>
      <c r="AX658" s="36">
        <v>125</v>
      </c>
      <c r="AY658" s="37"/>
      <c r="AZ658" s="38"/>
      <c r="BA658" s="36">
        <f>AX658</f>
        <v>125</v>
      </c>
      <c r="BB658" s="37"/>
      <c r="BC658" s="38"/>
      <c r="BD658" s="36">
        <f>AX658</f>
        <v>125</v>
      </c>
      <c r="BE658" s="37"/>
      <c r="BF658" s="38"/>
      <c r="BG658" s="36">
        <v>140</v>
      </c>
      <c r="BH658" s="37"/>
      <c r="BI658" s="38"/>
      <c r="BJ658" s="36">
        <v>175</v>
      </c>
      <c r="BK658" s="37"/>
      <c r="BL658" s="38"/>
      <c r="BM658" s="36">
        <f>BM657</f>
        <v>185</v>
      </c>
      <c r="BN658" s="37"/>
      <c r="BO658" s="38"/>
      <c r="BP658" s="36">
        <v>195</v>
      </c>
      <c r="BQ658" s="37"/>
      <c r="BR658" s="38"/>
      <c r="BS658" s="36">
        <f>BP658</f>
        <v>195</v>
      </c>
      <c r="BT658" s="37"/>
      <c r="BU658" s="38"/>
      <c r="BV658" s="36">
        <f>BP658</f>
        <v>195</v>
      </c>
      <c r="BW658" s="37"/>
      <c r="BX658" s="38"/>
      <c r="BY658" s="36">
        <v>210</v>
      </c>
      <c r="BZ658" s="37"/>
      <c r="CA658" s="38"/>
      <c r="CB658" s="36">
        <v>245</v>
      </c>
      <c r="CC658" s="37"/>
      <c r="CD658" s="38"/>
      <c r="CE658" s="36">
        <f>CB658</f>
        <v>245</v>
      </c>
      <c r="CF658" s="37"/>
      <c r="CG658" s="38"/>
      <c r="CH658" s="36">
        <f>CH657</f>
        <v>255</v>
      </c>
      <c r="CI658" s="37"/>
      <c r="CJ658" s="38"/>
    </row>
    <row r="659" spans="1:88" ht="18" customHeight="1">
      <c r="A659" s="11"/>
      <c r="B659" s="11"/>
      <c r="C659" s="11"/>
      <c r="D659" s="11"/>
      <c r="E659" s="11"/>
      <c r="F659" s="11"/>
      <c r="G659" s="11"/>
      <c r="H659" s="11" t="s">
        <v>35</v>
      </c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  <c r="AE659" s="11"/>
      <c r="AF659" s="11"/>
      <c r="AG659" s="11"/>
      <c r="AH659" s="11"/>
      <c r="AI659" s="11"/>
      <c r="AJ659" s="11"/>
      <c r="AK659" s="11"/>
      <c r="AL659" s="11"/>
      <c r="AM659" s="11"/>
      <c r="AN659" s="11"/>
      <c r="AO659" s="11"/>
      <c r="AP659" s="11"/>
      <c r="AQ659" s="11"/>
      <c r="AR659" s="11"/>
      <c r="AS659" s="11"/>
      <c r="AU659" s="228" t="s">
        <v>17</v>
      </c>
      <c r="AV659" s="229"/>
      <c r="AW659" s="230"/>
      <c r="AX659" s="36">
        <v>125</v>
      </c>
      <c r="AY659" s="37"/>
      <c r="AZ659" s="38"/>
      <c r="BA659" s="36">
        <f>AX659</f>
        <v>125</v>
      </c>
      <c r="BB659" s="37"/>
      <c r="BC659" s="38"/>
      <c r="BD659" s="36">
        <f>AX659</f>
        <v>125</v>
      </c>
      <c r="BE659" s="37"/>
      <c r="BF659" s="38"/>
      <c r="BG659" s="36">
        <v>140</v>
      </c>
      <c r="BH659" s="37"/>
      <c r="BI659" s="38"/>
      <c r="BJ659" s="36">
        <v>175</v>
      </c>
      <c r="BK659" s="37"/>
      <c r="BL659" s="38"/>
      <c r="BM659" s="36">
        <f>BM657</f>
        <v>185</v>
      </c>
      <c r="BN659" s="37"/>
      <c r="BO659" s="38"/>
      <c r="BP659" s="36">
        <v>190</v>
      </c>
      <c r="BQ659" s="37"/>
      <c r="BR659" s="38"/>
      <c r="BS659" s="36">
        <f>BP659</f>
        <v>190</v>
      </c>
      <c r="BT659" s="37"/>
      <c r="BU659" s="38"/>
      <c r="BV659" s="36">
        <f>BP659</f>
        <v>190</v>
      </c>
      <c r="BW659" s="37"/>
      <c r="BX659" s="38"/>
      <c r="BY659" s="36">
        <v>210</v>
      </c>
      <c r="BZ659" s="37"/>
      <c r="CA659" s="38"/>
      <c r="CB659" s="36">
        <v>240</v>
      </c>
      <c r="CC659" s="37"/>
      <c r="CD659" s="38"/>
      <c r="CE659" s="36">
        <f>CB659</f>
        <v>240</v>
      </c>
      <c r="CF659" s="37"/>
      <c r="CG659" s="38"/>
      <c r="CH659" s="36">
        <f>CH657</f>
        <v>255</v>
      </c>
      <c r="CI659" s="37"/>
      <c r="CJ659" s="38"/>
    </row>
    <row r="660" spans="1:57" ht="18" customHeight="1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 t="s">
        <v>36</v>
      </c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  <c r="AE660" s="11"/>
      <c r="AF660" s="11"/>
      <c r="AG660" s="11"/>
      <c r="AH660" s="11"/>
      <c r="AI660" s="11"/>
      <c r="AJ660" s="11"/>
      <c r="AK660" s="11"/>
      <c r="AL660" s="11"/>
      <c r="AM660" s="11"/>
      <c r="AN660" s="11"/>
      <c r="AO660" s="11"/>
      <c r="AP660" s="11"/>
      <c r="AQ660" s="11"/>
      <c r="AR660" s="11"/>
      <c r="AS660" s="11"/>
      <c r="AT660" s="14"/>
      <c r="AU660" s="13" t="s">
        <v>37</v>
      </c>
      <c r="AV660" s="13"/>
      <c r="AW660" s="13"/>
      <c r="AX660" s="13"/>
      <c r="AY660" s="13"/>
      <c r="AZ660" s="13"/>
      <c r="BA660" s="13"/>
      <c r="BB660" s="13"/>
      <c r="BC660" s="13"/>
      <c r="BD660" s="13"/>
      <c r="BE660" s="13"/>
    </row>
    <row r="661" spans="1:88" ht="18" customHeight="1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  <c r="AE661" s="11"/>
      <c r="AF661" s="11"/>
      <c r="AG661" s="11"/>
      <c r="AH661" s="11"/>
      <c r="AI661" s="11"/>
      <c r="AJ661" s="11"/>
      <c r="AK661" s="11"/>
      <c r="AL661" s="11"/>
      <c r="AM661" s="11"/>
      <c r="AN661" s="11"/>
      <c r="AO661" s="11"/>
      <c r="AP661" s="11"/>
      <c r="AQ661" s="11"/>
      <c r="AR661" s="11"/>
      <c r="AS661" s="11"/>
      <c r="AT661" s="15"/>
      <c r="AU661" s="36">
        <f>IF(AG596&lt;=0.04,2,IF(AG596&lt;=0.075,3,4))</f>
        <v>2</v>
      </c>
      <c r="AV661" s="37"/>
      <c r="AW661" s="38"/>
      <c r="AX661" s="43" t="s">
        <v>4</v>
      </c>
      <c r="AY661" s="44"/>
      <c r="AZ661" s="45"/>
      <c r="BA661" s="43" t="s">
        <v>5</v>
      </c>
      <c r="BB661" s="44"/>
      <c r="BC661" s="45"/>
      <c r="BD661" s="43" t="s">
        <v>6</v>
      </c>
      <c r="BE661" s="44"/>
      <c r="BF661" s="45"/>
      <c r="BG661" s="43" t="s">
        <v>7</v>
      </c>
      <c r="BH661" s="44"/>
      <c r="BI661" s="45"/>
      <c r="BJ661" s="43" t="s">
        <v>88</v>
      </c>
      <c r="BK661" s="44"/>
      <c r="BL661" s="45"/>
      <c r="BM661" s="224" t="s">
        <v>8</v>
      </c>
      <c r="BN661" s="225"/>
      <c r="BO661" s="226"/>
      <c r="BP661" s="43" t="s">
        <v>9</v>
      </c>
      <c r="BQ661" s="44"/>
      <c r="BR661" s="45"/>
      <c r="BS661" s="43" t="s">
        <v>10</v>
      </c>
      <c r="BT661" s="44"/>
      <c r="BU661" s="45"/>
      <c r="BV661" s="43" t="s">
        <v>11</v>
      </c>
      <c r="BW661" s="44"/>
      <c r="BX661" s="45"/>
      <c r="BY661" s="224" t="s">
        <v>12</v>
      </c>
      <c r="BZ661" s="225"/>
      <c r="CA661" s="226"/>
      <c r="CB661" s="43" t="s">
        <v>13</v>
      </c>
      <c r="CC661" s="44"/>
      <c r="CD661" s="45"/>
      <c r="CE661" s="43" t="s">
        <v>14</v>
      </c>
      <c r="CF661" s="44"/>
      <c r="CG661" s="45"/>
      <c r="CH661" s="224" t="s">
        <v>15</v>
      </c>
      <c r="CI661" s="225"/>
      <c r="CJ661" s="226"/>
    </row>
    <row r="662" spans="1:88" ht="18" customHeight="1">
      <c r="A662" s="11"/>
      <c r="B662" s="11"/>
      <c r="C662" s="11" t="s">
        <v>22</v>
      </c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 t="s">
        <v>85</v>
      </c>
      <c r="S662" s="51" t="str">
        <f>AG587</f>
        <v>SMA490</v>
      </c>
      <c r="T662" s="51"/>
      <c r="U662" s="51"/>
      <c r="V662" s="51"/>
      <c r="W662" s="11" t="s">
        <v>23</v>
      </c>
      <c r="X662" s="11"/>
      <c r="Y662" s="11"/>
      <c r="Z662" s="11"/>
      <c r="AA662" s="11"/>
      <c r="AB662" s="11"/>
      <c r="AC662" s="11"/>
      <c r="AD662" s="11"/>
      <c r="AE662" s="11"/>
      <c r="AF662" s="11"/>
      <c r="AG662" s="11"/>
      <c r="AH662" s="11"/>
      <c r="AI662" s="11"/>
      <c r="AJ662" s="11"/>
      <c r="AK662" s="11"/>
      <c r="AL662" s="11"/>
      <c r="AM662" s="11"/>
      <c r="AN662" s="11"/>
      <c r="AO662" s="11"/>
      <c r="AP662" s="11"/>
      <c r="AQ662" s="11"/>
      <c r="AR662" s="11"/>
      <c r="AS662" s="11"/>
      <c r="AT662" s="232"/>
      <c r="AU662" s="36">
        <v>40</v>
      </c>
      <c r="AV662" s="37"/>
      <c r="AW662" s="38"/>
      <c r="AX662" s="36">
        <v>140</v>
      </c>
      <c r="AY662" s="37"/>
      <c r="AZ662" s="38"/>
      <c r="BA662" s="36">
        <f>AX662</f>
        <v>140</v>
      </c>
      <c r="BB662" s="37"/>
      <c r="BC662" s="38"/>
      <c r="BD662" s="36">
        <f>AX662</f>
        <v>140</v>
      </c>
      <c r="BE662" s="37"/>
      <c r="BF662" s="38"/>
      <c r="BG662" s="36">
        <v>140</v>
      </c>
      <c r="BH662" s="37"/>
      <c r="BI662" s="38"/>
      <c r="BJ662" s="36">
        <v>185</v>
      </c>
      <c r="BK662" s="37"/>
      <c r="BL662" s="38"/>
      <c r="BM662" s="36">
        <f>BJ662</f>
        <v>185</v>
      </c>
      <c r="BN662" s="37"/>
      <c r="BO662" s="38"/>
      <c r="BP662" s="36">
        <v>210</v>
      </c>
      <c r="BQ662" s="37"/>
      <c r="BR662" s="38"/>
      <c r="BS662" s="36">
        <f>BP662</f>
        <v>210</v>
      </c>
      <c r="BT662" s="37"/>
      <c r="BU662" s="38"/>
      <c r="BV662" s="36">
        <f>BP662</f>
        <v>210</v>
      </c>
      <c r="BW662" s="37"/>
      <c r="BX662" s="38"/>
      <c r="BY662" s="36">
        <v>210</v>
      </c>
      <c r="BZ662" s="37"/>
      <c r="CA662" s="38"/>
      <c r="CB662" s="36">
        <v>255</v>
      </c>
      <c r="CC662" s="37"/>
      <c r="CD662" s="38"/>
      <c r="CE662" s="36">
        <f>CB662</f>
        <v>255</v>
      </c>
      <c r="CF662" s="37"/>
      <c r="CG662" s="38"/>
      <c r="CH662" s="36">
        <f>CE662</f>
        <v>255</v>
      </c>
      <c r="CI662" s="37"/>
      <c r="CJ662" s="38"/>
    </row>
    <row r="663" spans="1:88" ht="18" customHeight="1">
      <c r="A663" s="11"/>
      <c r="B663" s="11"/>
      <c r="C663" s="11"/>
      <c r="D663" s="11"/>
      <c r="E663" s="11" t="s">
        <v>90</v>
      </c>
      <c r="F663" s="11"/>
      <c r="G663" s="11"/>
      <c r="H663" s="219">
        <f>HLOOKUP(S662,AX656:CJ659,AU656,FALSE)</f>
        <v>210</v>
      </c>
      <c r="I663" s="219"/>
      <c r="J663" s="219"/>
      <c r="K663" s="219"/>
      <c r="L663" s="11" t="s">
        <v>28</v>
      </c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  <c r="AE663" s="11"/>
      <c r="AF663" s="11"/>
      <c r="AG663" s="11"/>
      <c r="AH663" s="11"/>
      <c r="AI663" s="11"/>
      <c r="AJ663" s="11"/>
      <c r="AK663" s="11"/>
      <c r="AL663" s="11"/>
      <c r="AM663" s="11"/>
      <c r="AN663" s="11"/>
      <c r="AO663" s="11"/>
      <c r="AP663" s="11"/>
      <c r="AQ663" s="11"/>
      <c r="AR663" s="11"/>
      <c r="AS663" s="11"/>
      <c r="AU663" s="228" t="s">
        <v>16</v>
      </c>
      <c r="AV663" s="229"/>
      <c r="AW663" s="230"/>
      <c r="AX663" s="36">
        <v>125</v>
      </c>
      <c r="AY663" s="37"/>
      <c r="AZ663" s="38"/>
      <c r="BA663" s="36">
        <f>AX663</f>
        <v>125</v>
      </c>
      <c r="BB663" s="37"/>
      <c r="BC663" s="38"/>
      <c r="BD663" s="36">
        <f>AX663</f>
        <v>125</v>
      </c>
      <c r="BE663" s="37"/>
      <c r="BF663" s="38"/>
      <c r="BG663" s="36">
        <v>140</v>
      </c>
      <c r="BH663" s="37"/>
      <c r="BI663" s="38"/>
      <c r="BJ663" s="36">
        <v>175</v>
      </c>
      <c r="BK663" s="37"/>
      <c r="BL663" s="38"/>
      <c r="BM663" s="36">
        <f>BM662</f>
        <v>185</v>
      </c>
      <c r="BN663" s="37"/>
      <c r="BO663" s="38"/>
      <c r="BP663" s="36">
        <v>195</v>
      </c>
      <c r="BQ663" s="37"/>
      <c r="BR663" s="38"/>
      <c r="BS663" s="36">
        <f>BP663</f>
        <v>195</v>
      </c>
      <c r="BT663" s="37"/>
      <c r="BU663" s="38"/>
      <c r="BV663" s="36">
        <f>BP663</f>
        <v>195</v>
      </c>
      <c r="BW663" s="37"/>
      <c r="BX663" s="38"/>
      <c r="BY663" s="36">
        <v>210</v>
      </c>
      <c r="BZ663" s="37"/>
      <c r="CA663" s="38"/>
      <c r="CB663" s="36">
        <v>245</v>
      </c>
      <c r="CC663" s="37"/>
      <c r="CD663" s="38"/>
      <c r="CE663" s="36">
        <f>CB663</f>
        <v>245</v>
      </c>
      <c r="CF663" s="37"/>
      <c r="CG663" s="38"/>
      <c r="CH663" s="36">
        <f>CH662</f>
        <v>255</v>
      </c>
      <c r="CI663" s="37"/>
      <c r="CJ663" s="38"/>
    </row>
    <row r="664" spans="1:88" ht="18" customHeight="1">
      <c r="A664" s="11"/>
      <c r="B664" s="11"/>
      <c r="C664" s="11" t="s">
        <v>24</v>
      </c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 t="s">
        <v>85</v>
      </c>
      <c r="S664" s="51" t="str">
        <f>S662</f>
        <v>SMA490</v>
      </c>
      <c r="T664" s="51"/>
      <c r="U664" s="51"/>
      <c r="V664" s="51"/>
      <c r="W664" s="11" t="s">
        <v>23</v>
      </c>
      <c r="X664" s="11"/>
      <c r="Y664" s="11"/>
      <c r="Z664" s="11"/>
      <c r="AA664" s="11"/>
      <c r="AB664" s="11"/>
      <c r="AC664" s="11"/>
      <c r="AD664" s="11"/>
      <c r="AE664" s="11"/>
      <c r="AF664" s="11"/>
      <c r="AG664" s="11"/>
      <c r="AH664" s="11"/>
      <c r="AI664" s="11"/>
      <c r="AJ664" s="11"/>
      <c r="AK664" s="11"/>
      <c r="AL664" s="11"/>
      <c r="AM664" s="11"/>
      <c r="AN664" s="11"/>
      <c r="AO664" s="11"/>
      <c r="AP664" s="11"/>
      <c r="AQ664" s="11"/>
      <c r="AR664" s="11"/>
      <c r="AS664" s="11"/>
      <c r="AU664" s="228" t="s">
        <v>17</v>
      </c>
      <c r="AV664" s="229"/>
      <c r="AW664" s="230"/>
      <c r="AX664" s="36">
        <v>125</v>
      </c>
      <c r="AY664" s="37"/>
      <c r="AZ664" s="38"/>
      <c r="BA664" s="36">
        <f>AX664</f>
        <v>125</v>
      </c>
      <c r="BB664" s="37"/>
      <c r="BC664" s="38"/>
      <c r="BD664" s="36">
        <f>AX664</f>
        <v>125</v>
      </c>
      <c r="BE664" s="37"/>
      <c r="BF664" s="38"/>
      <c r="BG664" s="36">
        <v>140</v>
      </c>
      <c r="BH664" s="37"/>
      <c r="BI664" s="38"/>
      <c r="BJ664" s="36">
        <v>175</v>
      </c>
      <c r="BK664" s="37"/>
      <c r="BL664" s="38"/>
      <c r="BM664" s="36">
        <f>BM662</f>
        <v>185</v>
      </c>
      <c r="BN664" s="37"/>
      <c r="BO664" s="38"/>
      <c r="BP664" s="36">
        <v>190</v>
      </c>
      <c r="BQ664" s="37"/>
      <c r="BR664" s="38"/>
      <c r="BS664" s="36">
        <f>BP664</f>
        <v>190</v>
      </c>
      <c r="BT664" s="37"/>
      <c r="BU664" s="38"/>
      <c r="BV664" s="36">
        <f>BP664</f>
        <v>190</v>
      </c>
      <c r="BW664" s="37"/>
      <c r="BX664" s="38"/>
      <c r="BY664" s="36">
        <v>210</v>
      </c>
      <c r="BZ664" s="37"/>
      <c r="CA664" s="38"/>
      <c r="CB664" s="36">
        <v>240</v>
      </c>
      <c r="CC664" s="37"/>
      <c r="CD664" s="38"/>
      <c r="CE664" s="36">
        <f>CB664</f>
        <v>240</v>
      </c>
      <c r="CF664" s="37"/>
      <c r="CG664" s="38"/>
      <c r="CH664" s="36">
        <f>CH662</f>
        <v>255</v>
      </c>
      <c r="CI664" s="37"/>
      <c r="CJ664" s="38"/>
    </row>
    <row r="665" spans="1:57" ht="18" customHeight="1">
      <c r="A665" s="11"/>
      <c r="B665" s="11"/>
      <c r="C665" s="11"/>
      <c r="D665" s="11"/>
      <c r="E665" s="51" t="s">
        <v>38</v>
      </c>
      <c r="F665" s="51"/>
      <c r="G665" s="51"/>
      <c r="H665" s="51"/>
      <c r="I665" s="51"/>
      <c r="J665" s="233"/>
      <c r="K665" s="234" t="s">
        <v>91</v>
      </c>
      <c r="L665" s="234"/>
      <c r="M665" s="233"/>
      <c r="N665" s="233"/>
      <c r="O665" s="11"/>
      <c r="P665" s="51" t="s">
        <v>79</v>
      </c>
      <c r="Q665" s="11"/>
      <c r="R665" s="233"/>
      <c r="S665" s="233"/>
      <c r="T665" s="235">
        <f>(AG590+AM590)*1000</f>
        <v>2400</v>
      </c>
      <c r="U665" s="234"/>
      <c r="V665" s="234"/>
      <c r="W665" s="233"/>
      <c r="X665" s="233"/>
      <c r="Y665" s="233"/>
      <c r="Z665" s="233"/>
      <c r="AA665" s="51" t="s">
        <v>79</v>
      </c>
      <c r="AB665" s="51"/>
      <c r="AC665" s="219">
        <f>T665/(R666*U666*Y666)</f>
        <v>18.181818181818183</v>
      </c>
      <c r="AD665" s="219"/>
      <c r="AE665" s="219"/>
      <c r="AF665" s="51" t="s">
        <v>71</v>
      </c>
      <c r="AG665" s="51"/>
      <c r="AH665" s="11"/>
      <c r="AI665" s="11"/>
      <c r="AJ665" s="11"/>
      <c r="AK665" s="11"/>
      <c r="AL665" s="11"/>
      <c r="AM665" s="11"/>
      <c r="AN665" s="11"/>
      <c r="AO665" s="11"/>
      <c r="AP665" s="11"/>
      <c r="AQ665" s="11"/>
      <c r="AR665" s="11"/>
      <c r="AS665" s="11"/>
      <c r="AU665" s="13" t="s">
        <v>39</v>
      </c>
      <c r="AV665" s="13"/>
      <c r="AW665" s="13"/>
      <c r="AX665" s="13"/>
      <c r="AY665" s="13"/>
      <c r="AZ665" s="13"/>
      <c r="BA665" s="13"/>
      <c r="BB665" s="13"/>
      <c r="BC665" s="13"/>
      <c r="BD665" s="13"/>
      <c r="BE665" s="13"/>
    </row>
    <row r="666" spans="1:88" ht="18" customHeight="1">
      <c r="A666" s="11"/>
      <c r="B666" s="11"/>
      <c r="C666" s="11"/>
      <c r="D666" s="11"/>
      <c r="E666" s="51"/>
      <c r="F666" s="51"/>
      <c r="G666" s="51"/>
      <c r="H666" s="51"/>
      <c r="I666" s="51"/>
      <c r="J666" s="236">
        <f>HLOOKUP(S664,AX666:CJ669,AU667,FALSE)</f>
        <v>22</v>
      </c>
      <c r="K666" s="237"/>
      <c r="L666" s="11" t="s">
        <v>92</v>
      </c>
      <c r="M666" s="11"/>
      <c r="N666" s="11"/>
      <c r="O666" s="11"/>
      <c r="P666" s="51"/>
      <c r="Q666" s="11"/>
      <c r="R666" s="236">
        <f>J666</f>
        <v>22</v>
      </c>
      <c r="S666" s="237"/>
      <c r="T666" s="11" t="s">
        <v>83</v>
      </c>
      <c r="U666" s="237">
        <f>AF655</f>
        <v>1</v>
      </c>
      <c r="V666" s="237"/>
      <c r="W666" s="237"/>
      <c r="X666" s="11" t="s">
        <v>83</v>
      </c>
      <c r="Y666" s="236">
        <f>C615+1</f>
        <v>6</v>
      </c>
      <c r="Z666" s="237"/>
      <c r="AA666" s="51"/>
      <c r="AB666" s="51"/>
      <c r="AC666" s="219"/>
      <c r="AD666" s="219"/>
      <c r="AE666" s="219"/>
      <c r="AF666" s="51"/>
      <c r="AG666" s="51"/>
      <c r="AH666" s="11"/>
      <c r="AI666" s="11"/>
      <c r="AJ666" s="11"/>
      <c r="AK666" s="11"/>
      <c r="AL666" s="11"/>
      <c r="AM666" s="11"/>
      <c r="AN666" s="11"/>
      <c r="AO666" s="11"/>
      <c r="AP666" s="11"/>
      <c r="AQ666" s="11"/>
      <c r="AR666" s="11"/>
      <c r="AS666" s="11"/>
      <c r="AU666" s="36">
        <f>AU661</f>
        <v>2</v>
      </c>
      <c r="AV666" s="37"/>
      <c r="AW666" s="38"/>
      <c r="AX666" s="43" t="s">
        <v>4</v>
      </c>
      <c r="AY666" s="44"/>
      <c r="AZ666" s="45"/>
      <c r="BA666" s="46" t="s">
        <v>5</v>
      </c>
      <c r="BB666" s="47"/>
      <c r="BC666" s="48"/>
      <c r="BD666" s="43" t="s">
        <v>6</v>
      </c>
      <c r="BE666" s="44"/>
      <c r="BF666" s="45"/>
      <c r="BG666" s="43" t="s">
        <v>7</v>
      </c>
      <c r="BH666" s="44"/>
      <c r="BI666" s="45"/>
      <c r="BJ666" s="43" t="s">
        <v>88</v>
      </c>
      <c r="BK666" s="44"/>
      <c r="BL666" s="45"/>
      <c r="BM666" s="224" t="s">
        <v>8</v>
      </c>
      <c r="BN666" s="225"/>
      <c r="BO666" s="226"/>
      <c r="BP666" s="43" t="s">
        <v>9</v>
      </c>
      <c r="BQ666" s="44"/>
      <c r="BR666" s="45"/>
      <c r="BS666" s="43" t="s">
        <v>10</v>
      </c>
      <c r="BT666" s="44"/>
      <c r="BU666" s="45"/>
      <c r="BV666" s="43" t="s">
        <v>11</v>
      </c>
      <c r="BW666" s="44"/>
      <c r="BX666" s="45"/>
      <c r="BY666" s="224" t="s">
        <v>12</v>
      </c>
      <c r="BZ666" s="225"/>
      <c r="CA666" s="226"/>
      <c r="CB666" s="43" t="s">
        <v>13</v>
      </c>
      <c r="CC666" s="44"/>
      <c r="CD666" s="45"/>
      <c r="CE666" s="43" t="s">
        <v>14</v>
      </c>
      <c r="CF666" s="44"/>
      <c r="CG666" s="45"/>
      <c r="CH666" s="224" t="s">
        <v>15</v>
      </c>
      <c r="CI666" s="225"/>
      <c r="CJ666" s="226"/>
    </row>
    <row r="667" spans="1:88" ht="18" customHeight="1">
      <c r="A667" s="11"/>
      <c r="B667" s="11"/>
      <c r="C667" s="11"/>
      <c r="D667" s="11"/>
      <c r="E667" s="11"/>
      <c r="F667" s="11"/>
      <c r="G667" s="11" t="s">
        <v>25</v>
      </c>
      <c r="H667" s="11"/>
      <c r="I667" s="11"/>
      <c r="J667" s="11"/>
      <c r="K667" s="11"/>
      <c r="L667" s="11"/>
      <c r="M667" s="11"/>
      <c r="N667" s="11"/>
      <c r="O667" s="167">
        <f>HLOOKUP(S664,AX661:CJ664,AU661,FALSE)</f>
        <v>210</v>
      </c>
      <c r="P667" s="167"/>
      <c r="Q667" s="167"/>
      <c r="R667" s="167"/>
      <c r="S667" s="11" t="s">
        <v>28</v>
      </c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  <c r="AE667" s="11"/>
      <c r="AF667" s="11"/>
      <c r="AG667" s="11"/>
      <c r="AH667" s="11"/>
      <c r="AI667" s="11"/>
      <c r="AJ667" s="11"/>
      <c r="AK667" s="11"/>
      <c r="AL667" s="11"/>
      <c r="AM667" s="11"/>
      <c r="AN667" s="11"/>
      <c r="AO667" s="11"/>
      <c r="AP667" s="11"/>
      <c r="AQ667" s="11"/>
      <c r="AR667" s="11"/>
      <c r="AS667" s="11"/>
      <c r="AU667" s="36">
        <v>2</v>
      </c>
      <c r="AV667" s="37"/>
      <c r="AW667" s="38"/>
      <c r="AX667" s="34">
        <v>28</v>
      </c>
      <c r="AY667" s="34"/>
      <c r="AZ667" s="34"/>
      <c r="BA667" s="39">
        <f>AX667</f>
        <v>28</v>
      </c>
      <c r="BB667" s="39"/>
      <c r="BC667" s="39"/>
      <c r="BD667" s="34">
        <f>AX667</f>
        <v>28</v>
      </c>
      <c r="BE667" s="34"/>
      <c r="BF667" s="34"/>
      <c r="BG667" s="34">
        <f>BA667</f>
        <v>28</v>
      </c>
      <c r="BH667" s="34"/>
      <c r="BI667" s="34"/>
      <c r="BJ667" s="35">
        <v>24</v>
      </c>
      <c r="BK667" s="35"/>
      <c r="BL667" s="35"/>
      <c r="BM667" s="35">
        <f>BJ667</f>
        <v>24</v>
      </c>
      <c r="BN667" s="35"/>
      <c r="BO667" s="35"/>
      <c r="BP667" s="35">
        <v>22</v>
      </c>
      <c r="BQ667" s="35"/>
      <c r="BR667" s="35"/>
      <c r="BS667" s="35">
        <f>BP667</f>
        <v>22</v>
      </c>
      <c r="BT667" s="35"/>
      <c r="BU667" s="35"/>
      <c r="BV667" s="35">
        <f>BP667</f>
        <v>22</v>
      </c>
      <c r="BW667" s="35"/>
      <c r="BX667" s="35"/>
      <c r="BY667" s="34">
        <f>BP667</f>
        <v>22</v>
      </c>
      <c r="BZ667" s="34"/>
      <c r="CA667" s="34"/>
      <c r="CB667" s="34">
        <v>22</v>
      </c>
      <c r="CC667" s="34"/>
      <c r="CD667" s="34"/>
      <c r="CE667" s="34">
        <f>CB667</f>
        <v>22</v>
      </c>
      <c r="CF667" s="34"/>
      <c r="CG667" s="34"/>
      <c r="CH667" s="34">
        <f>CB667</f>
        <v>22</v>
      </c>
      <c r="CI667" s="34"/>
      <c r="CJ667" s="34"/>
    </row>
    <row r="668" spans="1:88" ht="18" customHeight="1">
      <c r="A668" s="11"/>
      <c r="B668" s="11"/>
      <c r="C668" s="11"/>
      <c r="D668" s="11"/>
      <c r="E668" s="233"/>
      <c r="F668" s="234" t="s">
        <v>91</v>
      </c>
      <c r="G668" s="234"/>
      <c r="H668" s="233"/>
      <c r="I668" s="11"/>
      <c r="J668" s="51" t="s">
        <v>93</v>
      </c>
      <c r="K668" s="51" t="s">
        <v>38</v>
      </c>
      <c r="L668" s="51"/>
      <c r="M668" s="51"/>
      <c r="N668" s="51"/>
      <c r="O668" s="51"/>
      <c r="P668" s="233"/>
      <c r="Q668" s="234" t="s">
        <v>91</v>
      </c>
      <c r="R668" s="234"/>
      <c r="S668" s="233"/>
      <c r="T668" s="11"/>
      <c r="U668" s="51" t="s">
        <v>79</v>
      </c>
      <c r="V668" s="233"/>
      <c r="W668" s="233"/>
      <c r="X668" s="235">
        <f>(AG590+AM590)*1000</f>
        <v>2400</v>
      </c>
      <c r="Y668" s="234"/>
      <c r="Z668" s="234"/>
      <c r="AA668" s="233"/>
      <c r="AB668" s="233"/>
      <c r="AC668" s="233"/>
      <c r="AD668" s="233"/>
      <c r="AE668" s="51" t="s">
        <v>79</v>
      </c>
      <c r="AF668" s="219">
        <f>X668/(V669*Y669*AC669)</f>
        <v>8.695652173913043</v>
      </c>
      <c r="AG668" s="219"/>
      <c r="AH668" s="219"/>
      <c r="AI668" s="51" t="s">
        <v>71</v>
      </c>
      <c r="AJ668" s="51"/>
      <c r="AK668" s="11"/>
      <c r="AL668" s="11"/>
      <c r="AM668" s="11"/>
      <c r="AN668" s="11"/>
      <c r="AO668" s="11"/>
      <c r="AP668" s="11"/>
      <c r="AQ668" s="11"/>
      <c r="AR668" s="11"/>
      <c r="AS668" s="11"/>
      <c r="AU668" s="36">
        <v>3</v>
      </c>
      <c r="AV668" s="37"/>
      <c r="AW668" s="38"/>
      <c r="AX668" s="40">
        <f>IF(AU666=2,2.6,2.1)</f>
        <v>2.6</v>
      </c>
      <c r="AY668" s="40"/>
      <c r="AZ668" s="40"/>
      <c r="BA668" s="42">
        <f>AX668</f>
        <v>2.6</v>
      </c>
      <c r="BB668" s="42"/>
      <c r="BC668" s="42"/>
      <c r="BD668" s="40">
        <f>AX668</f>
        <v>2.6</v>
      </c>
      <c r="BE668" s="40"/>
      <c r="BF668" s="40"/>
      <c r="BG668" s="40">
        <f>BA668</f>
        <v>2.6</v>
      </c>
      <c r="BH668" s="40"/>
      <c r="BI668" s="40"/>
      <c r="BJ668" s="41">
        <f>IF(AU666=2,3.9,3.5)</f>
        <v>3.9</v>
      </c>
      <c r="BK668" s="41"/>
      <c r="BL668" s="41"/>
      <c r="BM668" s="41">
        <f>BJ668</f>
        <v>3.9</v>
      </c>
      <c r="BN668" s="41"/>
      <c r="BO668" s="41"/>
      <c r="BP668" s="41">
        <f>IF(AU666=2,4.6,IF(AU666=3,4,3.7))</f>
        <v>4.6</v>
      </c>
      <c r="BQ668" s="41"/>
      <c r="BR668" s="41"/>
      <c r="BS668" s="41">
        <f>BP668</f>
        <v>4.6</v>
      </c>
      <c r="BT668" s="41"/>
      <c r="BU668" s="41"/>
      <c r="BV668" s="41">
        <f>BP668</f>
        <v>4.6</v>
      </c>
      <c r="BW668" s="41"/>
      <c r="BX668" s="41"/>
      <c r="BY668" s="40">
        <f>BP668</f>
        <v>4.6</v>
      </c>
      <c r="BZ668" s="40"/>
      <c r="CA668" s="40"/>
      <c r="CB668" s="40">
        <f>IF(AU666=2,6.9,IF(AU666=3,6.2,6))</f>
        <v>6.9</v>
      </c>
      <c r="CC668" s="40"/>
      <c r="CD668" s="40"/>
      <c r="CE668" s="40">
        <f>CB668</f>
        <v>6.9</v>
      </c>
      <c r="CF668" s="40"/>
      <c r="CG668" s="40"/>
      <c r="CH668" s="40">
        <f>CB668</f>
        <v>6.9</v>
      </c>
      <c r="CI668" s="40"/>
      <c r="CJ668" s="40"/>
    </row>
    <row r="669" spans="1:88" ht="18" customHeight="1">
      <c r="A669" s="11"/>
      <c r="B669" s="11"/>
      <c r="C669" s="11"/>
      <c r="D669" s="11"/>
      <c r="E669" s="236">
        <f>HLOOKUP(S664,AX666:CJ669,AU667,FALSE)</f>
        <v>22</v>
      </c>
      <c r="F669" s="237"/>
      <c r="G669" s="11" t="s">
        <v>92</v>
      </c>
      <c r="H669" s="11"/>
      <c r="I669" s="11"/>
      <c r="J669" s="51"/>
      <c r="K669" s="51"/>
      <c r="L669" s="51"/>
      <c r="M669" s="51"/>
      <c r="N669" s="51"/>
      <c r="O669" s="51"/>
      <c r="P669" s="236">
        <f>HLOOKUP(S664,AX666:CJ669,AU669,FALSE)</f>
        <v>46</v>
      </c>
      <c r="Q669" s="237"/>
      <c r="R669" s="11" t="s">
        <v>92</v>
      </c>
      <c r="S669" s="11"/>
      <c r="T669" s="11"/>
      <c r="U669" s="51"/>
      <c r="V669" s="236">
        <f>P669</f>
        <v>46</v>
      </c>
      <c r="W669" s="237"/>
      <c r="X669" s="11" t="s">
        <v>83</v>
      </c>
      <c r="Y669" s="237">
        <f>AF655</f>
        <v>1</v>
      </c>
      <c r="Z669" s="237"/>
      <c r="AA669" s="237"/>
      <c r="AB669" s="11" t="s">
        <v>83</v>
      </c>
      <c r="AC669" s="236">
        <f>C615+1</f>
        <v>6</v>
      </c>
      <c r="AD669" s="237"/>
      <c r="AE669" s="51"/>
      <c r="AF669" s="219"/>
      <c r="AG669" s="219"/>
      <c r="AH669" s="219"/>
      <c r="AI669" s="51"/>
      <c r="AJ669" s="51"/>
      <c r="AK669" s="11"/>
      <c r="AL669" s="11"/>
      <c r="AM669" s="11"/>
      <c r="AN669" s="11"/>
      <c r="AO669" s="11"/>
      <c r="AP669" s="11"/>
      <c r="AQ669" s="11"/>
      <c r="AR669" s="11"/>
      <c r="AS669" s="11"/>
      <c r="AU669" s="36">
        <v>4</v>
      </c>
      <c r="AV669" s="37"/>
      <c r="AW669" s="38"/>
      <c r="AX669" s="34">
        <f>IF(AU666=2,56,58)</f>
        <v>56</v>
      </c>
      <c r="AY669" s="34"/>
      <c r="AZ669" s="34"/>
      <c r="BA669" s="39">
        <f>AX669</f>
        <v>56</v>
      </c>
      <c r="BB669" s="39"/>
      <c r="BC669" s="39"/>
      <c r="BD669" s="34">
        <f>AX669</f>
        <v>56</v>
      </c>
      <c r="BE669" s="34"/>
      <c r="BF669" s="34"/>
      <c r="BG669" s="34">
        <f>BA669</f>
        <v>56</v>
      </c>
      <c r="BH669" s="34"/>
      <c r="BI669" s="34"/>
      <c r="BJ669" s="35">
        <f>IF(AU666=2,48,50)</f>
        <v>48</v>
      </c>
      <c r="BK669" s="35"/>
      <c r="BL669" s="35"/>
      <c r="BM669" s="35">
        <f>BJ669</f>
        <v>48</v>
      </c>
      <c r="BN669" s="35"/>
      <c r="BO669" s="35"/>
      <c r="BP669" s="35">
        <f>IF(AU666=2,46,IF(AU666=3,46,48))</f>
        <v>46</v>
      </c>
      <c r="BQ669" s="35"/>
      <c r="BR669" s="35"/>
      <c r="BS669" s="35">
        <f>BP669</f>
        <v>46</v>
      </c>
      <c r="BT669" s="35"/>
      <c r="BU669" s="35"/>
      <c r="BV669" s="35">
        <f>BP669</f>
        <v>46</v>
      </c>
      <c r="BW669" s="35"/>
      <c r="BX669" s="35"/>
      <c r="BY669" s="34">
        <f>BP669</f>
        <v>46</v>
      </c>
      <c r="BZ669" s="34"/>
      <c r="CA669" s="34"/>
      <c r="CB669" s="34">
        <f>IF(AU666=2,40,IF(AU666=3,42,42))</f>
        <v>40</v>
      </c>
      <c r="CC669" s="34"/>
      <c r="CD669" s="34"/>
      <c r="CE669" s="34">
        <f>CB669</f>
        <v>40</v>
      </c>
      <c r="CF669" s="34"/>
      <c r="CG669" s="34"/>
      <c r="CH669" s="34">
        <f>CB669</f>
        <v>40</v>
      </c>
      <c r="CI669" s="34"/>
      <c r="CJ669" s="34"/>
    </row>
    <row r="670" spans="1:55" ht="18" customHeight="1">
      <c r="A670" s="11"/>
      <c r="B670" s="11"/>
      <c r="C670" s="11"/>
      <c r="D670" s="11"/>
      <c r="E670" s="11"/>
      <c r="F670" s="11"/>
      <c r="G670" s="11" t="s">
        <v>25</v>
      </c>
      <c r="H670" s="11"/>
      <c r="I670" s="11"/>
      <c r="J670" s="11"/>
      <c r="K670" s="11"/>
      <c r="L670" s="11"/>
      <c r="M670" s="11"/>
      <c r="N670" s="11"/>
      <c r="O670" s="220">
        <f>O667</f>
        <v>210</v>
      </c>
      <c r="P670" s="51"/>
      <c r="Q670" s="51"/>
      <c r="R670" s="11" t="s">
        <v>72</v>
      </c>
      <c r="S670" s="220">
        <f>HLOOKUP(S664,AX666:CJ669,AU668,FALSE)</f>
        <v>4.6</v>
      </c>
      <c r="T670" s="51"/>
      <c r="U670" s="11" t="s">
        <v>85</v>
      </c>
      <c r="V670" s="11" t="s">
        <v>94</v>
      </c>
      <c r="W670" s="11"/>
      <c r="X670" s="11"/>
      <c r="Y670" s="11"/>
      <c r="Z670" s="11"/>
      <c r="AA670" s="11"/>
      <c r="AB670" s="238">
        <f>E669</f>
        <v>22</v>
      </c>
      <c r="AC670" s="9"/>
      <c r="AD670" s="11" t="s">
        <v>89</v>
      </c>
      <c r="AE670" s="11" t="s">
        <v>79</v>
      </c>
      <c r="AF670" s="167">
        <f>ROUND(O670-S670*(X668/(AG596*1000*AF655*(C615+1))-AB670),3)</f>
        <v>188.533</v>
      </c>
      <c r="AG670" s="167"/>
      <c r="AH670" s="167"/>
      <c r="AI670" s="167"/>
      <c r="AJ670" s="11" t="s">
        <v>28</v>
      </c>
      <c r="AK670" s="11"/>
      <c r="AL670" s="11"/>
      <c r="AM670" s="11"/>
      <c r="AN670" s="11"/>
      <c r="AO670" s="11"/>
      <c r="AP670" s="11"/>
      <c r="AQ670" s="11"/>
      <c r="AR670" s="11"/>
      <c r="AS670" s="11"/>
      <c r="BA670" s="11"/>
      <c r="BB670" s="11"/>
      <c r="BC670" s="11"/>
    </row>
    <row r="671" spans="1:45" ht="18" customHeight="1">
      <c r="A671" s="11"/>
      <c r="B671" s="11"/>
      <c r="C671" s="11"/>
      <c r="D671" s="11"/>
      <c r="E671" s="233"/>
      <c r="F671" s="234" t="s">
        <v>91</v>
      </c>
      <c r="G671" s="234"/>
      <c r="H671" s="233"/>
      <c r="I671" s="11"/>
      <c r="J671" s="51" t="s">
        <v>93</v>
      </c>
      <c r="K671" s="51" t="s">
        <v>38</v>
      </c>
      <c r="L671" s="51"/>
      <c r="M671" s="51"/>
      <c r="N671" s="51"/>
      <c r="O671" s="51"/>
      <c r="P671" s="233"/>
      <c r="Q671" s="234" t="s">
        <v>91</v>
      </c>
      <c r="R671" s="234"/>
      <c r="S671" s="233"/>
      <c r="T671" s="11"/>
      <c r="U671" s="51" t="s">
        <v>79</v>
      </c>
      <c r="V671" s="233"/>
      <c r="W671" s="233"/>
      <c r="X671" s="235">
        <f>(AG590+AM590)*1000</f>
        <v>2400</v>
      </c>
      <c r="Y671" s="234"/>
      <c r="Z671" s="234"/>
      <c r="AA671" s="233"/>
      <c r="AB671" s="233"/>
      <c r="AC671" s="233"/>
      <c r="AD671" s="233"/>
      <c r="AE671" s="51" t="s">
        <v>79</v>
      </c>
      <c r="AF671" s="219">
        <f>X671/(V672*Y672*AC672)</f>
        <v>5</v>
      </c>
      <c r="AG671" s="219"/>
      <c r="AH671" s="219"/>
      <c r="AI671" s="51" t="s">
        <v>71</v>
      </c>
      <c r="AJ671" s="51"/>
      <c r="AK671" s="11"/>
      <c r="AL671" s="11"/>
      <c r="AM671" s="11"/>
      <c r="AN671" s="11"/>
      <c r="AO671" s="11"/>
      <c r="AP671" s="11"/>
      <c r="AQ671" s="11"/>
      <c r="AR671" s="11"/>
      <c r="AS671" s="11"/>
    </row>
    <row r="672" spans="1:45" ht="18" customHeight="1">
      <c r="A672" s="11"/>
      <c r="B672" s="11"/>
      <c r="C672" s="11"/>
      <c r="D672" s="11"/>
      <c r="E672" s="236">
        <f>P669</f>
        <v>46</v>
      </c>
      <c r="F672" s="237"/>
      <c r="G672" s="11" t="s">
        <v>92</v>
      </c>
      <c r="H672" s="11"/>
      <c r="I672" s="11"/>
      <c r="J672" s="51"/>
      <c r="K672" s="51"/>
      <c r="L672" s="51"/>
      <c r="M672" s="51"/>
      <c r="N672" s="51"/>
      <c r="O672" s="51"/>
      <c r="P672" s="236">
        <v>80</v>
      </c>
      <c r="Q672" s="237"/>
      <c r="R672" s="11" t="s">
        <v>92</v>
      </c>
      <c r="S672" s="11"/>
      <c r="T672" s="11"/>
      <c r="U672" s="51"/>
      <c r="V672" s="236">
        <f>P672</f>
        <v>80</v>
      </c>
      <c r="W672" s="237"/>
      <c r="X672" s="11" t="s">
        <v>83</v>
      </c>
      <c r="Y672" s="237">
        <f>AF655</f>
        <v>1</v>
      </c>
      <c r="Z672" s="237"/>
      <c r="AA672" s="237"/>
      <c r="AB672" s="11" t="s">
        <v>83</v>
      </c>
      <c r="AC672" s="236">
        <f>C615+1</f>
        <v>6</v>
      </c>
      <c r="AD672" s="237"/>
      <c r="AE672" s="51"/>
      <c r="AF672" s="219"/>
      <c r="AG672" s="219"/>
      <c r="AH672" s="219"/>
      <c r="AI672" s="51"/>
      <c r="AJ672" s="51"/>
      <c r="AK672" s="11"/>
      <c r="AL672" s="11"/>
      <c r="AM672" s="11"/>
      <c r="AN672" s="11"/>
      <c r="AO672" s="11"/>
      <c r="AP672" s="11"/>
      <c r="AQ672" s="11"/>
      <c r="AR672" s="11"/>
      <c r="AS672" s="11"/>
    </row>
    <row r="673" spans="1:45" ht="18" customHeight="1">
      <c r="A673" s="11"/>
      <c r="B673" s="11"/>
      <c r="C673" s="11"/>
      <c r="D673" s="11"/>
      <c r="E673" s="11"/>
      <c r="F673" s="11"/>
      <c r="G673" s="11" t="s">
        <v>25</v>
      </c>
      <c r="H673" s="11"/>
      <c r="I673" s="11"/>
      <c r="J673" s="11"/>
      <c r="K673" s="11"/>
      <c r="L673" s="11"/>
      <c r="M673" s="11"/>
      <c r="N673" s="220">
        <f>210000</f>
        <v>210000</v>
      </c>
      <c r="O673" s="220"/>
      <c r="P673" s="220"/>
      <c r="Q673" s="220"/>
      <c r="R673" s="11" t="s">
        <v>83</v>
      </c>
      <c r="S673" s="11" t="s">
        <v>95</v>
      </c>
      <c r="T673" s="11"/>
      <c r="U673" s="11"/>
      <c r="V673" s="11"/>
      <c r="W673" s="11"/>
      <c r="X673" s="11"/>
      <c r="Y673" s="11"/>
      <c r="Z673" s="11" t="s">
        <v>79</v>
      </c>
      <c r="AA673" s="51">
        <f>N673*(AG596*1000*Y672*AC672/X671)^2</f>
        <v>295.3125</v>
      </c>
      <c r="AB673" s="51"/>
      <c r="AC673" s="51"/>
      <c r="AD673" s="51"/>
      <c r="AE673" s="11"/>
      <c r="AF673" s="11" t="s">
        <v>28</v>
      </c>
      <c r="AG673" s="11"/>
      <c r="AH673" s="11"/>
      <c r="AI673" s="11"/>
      <c r="AJ673" s="11"/>
      <c r="AK673" s="11"/>
      <c r="AL673" s="11"/>
      <c r="AM673" s="11"/>
      <c r="AN673" s="11"/>
      <c r="AO673" s="11"/>
      <c r="AP673" s="11"/>
      <c r="AQ673" s="11"/>
      <c r="AR673" s="11"/>
      <c r="AS673" s="11"/>
    </row>
    <row r="674" spans="1:45" ht="18" customHeight="1">
      <c r="A674" s="11"/>
      <c r="B674" s="11"/>
      <c r="C674" s="11"/>
      <c r="D674" s="11"/>
      <c r="E674" s="11" t="s">
        <v>26</v>
      </c>
      <c r="F674" s="11"/>
      <c r="G674" s="11"/>
      <c r="H674" s="11"/>
      <c r="I674" s="11"/>
      <c r="J674" s="219">
        <f>AG596*1000</f>
        <v>15</v>
      </c>
      <c r="K674" s="219"/>
      <c r="L674" s="219"/>
      <c r="M674" s="10" t="s">
        <v>145</v>
      </c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  <c r="AE674" s="11"/>
      <c r="AF674" s="11"/>
      <c r="AG674" s="11"/>
      <c r="AH674" s="11"/>
      <c r="AI674" s="11"/>
      <c r="AJ674" s="11"/>
      <c r="AK674" s="11"/>
      <c r="AL674" s="11"/>
      <c r="AM674" s="11"/>
      <c r="AN674" s="11"/>
      <c r="AO674" s="11"/>
      <c r="AP674" s="11"/>
      <c r="AQ674" s="11"/>
      <c r="AR674" s="11"/>
      <c r="AS674" s="11"/>
    </row>
    <row r="675" spans="1:45" ht="18" customHeight="1">
      <c r="A675" s="11"/>
      <c r="B675" s="11"/>
      <c r="C675" s="11"/>
      <c r="D675" s="11"/>
      <c r="E675" s="11" t="s">
        <v>27</v>
      </c>
      <c r="F675" s="11"/>
      <c r="G675" s="11"/>
      <c r="H675" s="11"/>
      <c r="I675" s="11"/>
      <c r="J675" s="11"/>
      <c r="K675" s="11"/>
      <c r="L675" s="51">
        <f>IF(J674&gt;=AC665,O667,IF(J674&gt;=AF668,AF670,IF(J674&gt;=AF671,AA673,"확인 요망")))</f>
        <v>188.533</v>
      </c>
      <c r="M675" s="51"/>
      <c r="N675" s="51"/>
      <c r="O675" s="51"/>
      <c r="P675" s="11" t="s">
        <v>28</v>
      </c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  <c r="AD675" s="11"/>
      <c r="AE675" s="11"/>
      <c r="AF675" s="11"/>
      <c r="AG675" s="11"/>
      <c r="AH675" s="11"/>
      <c r="AI675" s="11"/>
      <c r="AJ675" s="11"/>
      <c r="AK675" s="11"/>
      <c r="AL675" s="11"/>
      <c r="AM675" s="11"/>
      <c r="AN675" s="11"/>
      <c r="AO675" s="11"/>
      <c r="AP675" s="11"/>
      <c r="AQ675" s="11"/>
      <c r="AR675" s="11"/>
      <c r="AS675" s="11"/>
    </row>
    <row r="676" spans="1:45" ht="18" customHeight="1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  <c r="AD676" s="11"/>
      <c r="AE676" s="11"/>
      <c r="AF676" s="11"/>
      <c r="AG676" s="11"/>
      <c r="AH676" s="11"/>
      <c r="AI676" s="11"/>
      <c r="AJ676" s="11"/>
      <c r="AK676" s="11"/>
      <c r="AL676" s="11"/>
      <c r="AM676" s="11"/>
      <c r="AN676" s="11"/>
      <c r="AO676" s="11"/>
      <c r="AP676" s="11"/>
      <c r="AQ676" s="11"/>
      <c r="AR676" s="11"/>
      <c r="AS676" s="11"/>
    </row>
    <row r="677" spans="1:45" ht="18" customHeight="1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  <c r="AD677" s="11"/>
      <c r="AE677" s="11"/>
      <c r="AF677" s="11"/>
      <c r="AG677" s="11"/>
      <c r="AH677" s="11"/>
      <c r="AI677" s="11"/>
      <c r="AJ677" s="11"/>
      <c r="AK677" s="11"/>
      <c r="AL677" s="11"/>
      <c r="AM677" s="11"/>
      <c r="AN677" s="11"/>
      <c r="AO677" s="11"/>
      <c r="AP677" s="11"/>
      <c r="AQ677" s="11"/>
      <c r="AR677" s="11"/>
      <c r="AS677" s="11"/>
    </row>
    <row r="678" spans="1:46" ht="18" customHeight="1">
      <c r="A678" s="11"/>
      <c r="B678" s="11"/>
      <c r="C678" s="239" t="s">
        <v>42</v>
      </c>
      <c r="D678" s="240"/>
      <c r="E678" s="240"/>
      <c r="F678" s="240"/>
      <c r="G678" s="240"/>
      <c r="H678" s="239" t="s">
        <v>43</v>
      </c>
      <c r="I678" s="240"/>
      <c r="J678" s="240"/>
      <c r="K678" s="240"/>
      <c r="L678" s="240"/>
      <c r="M678" s="240"/>
      <c r="N678" s="240"/>
      <c r="O678" s="240"/>
      <c r="P678" s="240"/>
      <c r="Q678" s="240"/>
      <c r="R678" s="240"/>
      <c r="S678" s="240"/>
      <c r="T678" s="240"/>
      <c r="U678" s="240"/>
      <c r="V678" s="240"/>
      <c r="W678" s="240"/>
      <c r="X678" s="240"/>
      <c r="Y678" s="240"/>
      <c r="Z678" s="240"/>
      <c r="AA678" s="240"/>
      <c r="AB678" s="240" t="s">
        <v>96</v>
      </c>
      <c r="AC678" s="240"/>
      <c r="AD678" s="240"/>
      <c r="AE678" s="240"/>
      <c r="AF678" s="240"/>
      <c r="AG678" s="240"/>
      <c r="AH678" s="240"/>
      <c r="AI678" s="240"/>
      <c r="AJ678" s="241" t="s">
        <v>44</v>
      </c>
      <c r="AK678" s="242"/>
      <c r="AL678" s="242"/>
      <c r="AM678" s="242"/>
      <c r="AN678" s="242"/>
      <c r="AO678" s="242"/>
      <c r="AP678" s="242"/>
      <c r="AQ678" s="242"/>
      <c r="AR678" s="243"/>
      <c r="AS678" s="243"/>
      <c r="AT678" s="232"/>
    </row>
    <row r="679" spans="1:46" ht="18" customHeight="1">
      <c r="A679" s="11"/>
      <c r="B679" s="11"/>
      <c r="C679" s="240"/>
      <c r="D679" s="240"/>
      <c r="E679" s="240"/>
      <c r="F679" s="240"/>
      <c r="G679" s="240"/>
      <c r="H679" s="239" t="s">
        <v>40</v>
      </c>
      <c r="I679" s="240"/>
      <c r="J679" s="240"/>
      <c r="K679" s="240"/>
      <c r="L679" s="240"/>
      <c r="M679" s="240"/>
      <c r="N679" s="240"/>
      <c r="O679" s="240"/>
      <c r="P679" s="240"/>
      <c r="Q679" s="240"/>
      <c r="R679" s="239" t="s">
        <v>41</v>
      </c>
      <c r="S679" s="240"/>
      <c r="T679" s="240"/>
      <c r="U679" s="240"/>
      <c r="V679" s="240"/>
      <c r="W679" s="240"/>
      <c r="X679" s="240"/>
      <c r="Y679" s="240"/>
      <c r="Z679" s="240"/>
      <c r="AA679" s="240"/>
      <c r="AB679" s="240"/>
      <c r="AC679" s="240"/>
      <c r="AD679" s="240"/>
      <c r="AE679" s="240"/>
      <c r="AF679" s="240"/>
      <c r="AG679" s="240"/>
      <c r="AH679" s="240"/>
      <c r="AI679" s="240"/>
      <c r="AJ679" s="241" t="s">
        <v>45</v>
      </c>
      <c r="AK679" s="242"/>
      <c r="AL679" s="242"/>
      <c r="AM679" s="242"/>
      <c r="AN679" s="242"/>
      <c r="AO679" s="242"/>
      <c r="AP679" s="242"/>
      <c r="AQ679" s="242"/>
      <c r="AR679" s="243"/>
      <c r="AS679" s="243"/>
      <c r="AT679" s="232"/>
    </row>
    <row r="680" spans="1:46" ht="18" customHeight="1">
      <c r="A680" s="11"/>
      <c r="B680" s="11"/>
      <c r="C680" s="240"/>
      <c r="D680" s="240"/>
      <c r="E680" s="240"/>
      <c r="F680" s="240"/>
      <c r="G680" s="240"/>
      <c r="H680" s="244" t="s">
        <v>46</v>
      </c>
      <c r="I680" s="182"/>
      <c r="J680" s="182"/>
      <c r="K680" s="182"/>
      <c r="L680" s="184"/>
      <c r="M680" s="244" t="s">
        <v>47</v>
      </c>
      <c r="N680" s="182"/>
      <c r="O680" s="182"/>
      <c r="P680" s="182"/>
      <c r="Q680" s="184"/>
      <c r="R680" s="244" t="s">
        <v>46</v>
      </c>
      <c r="S680" s="182"/>
      <c r="T680" s="182"/>
      <c r="U680" s="182"/>
      <c r="V680" s="184"/>
      <c r="W680" s="244" t="s">
        <v>47</v>
      </c>
      <c r="X680" s="182"/>
      <c r="Y680" s="182"/>
      <c r="Z680" s="182"/>
      <c r="AA680" s="184"/>
      <c r="AB680" s="239" t="s">
        <v>46</v>
      </c>
      <c r="AC680" s="240"/>
      <c r="AD680" s="240"/>
      <c r="AE680" s="240"/>
      <c r="AF680" s="239" t="s">
        <v>47</v>
      </c>
      <c r="AG680" s="240"/>
      <c r="AH680" s="240"/>
      <c r="AI680" s="240"/>
      <c r="AJ680" s="241" t="s">
        <v>46</v>
      </c>
      <c r="AK680" s="242"/>
      <c r="AL680" s="242"/>
      <c r="AM680" s="242"/>
      <c r="AN680" s="241" t="s">
        <v>47</v>
      </c>
      <c r="AO680" s="242"/>
      <c r="AP680" s="242"/>
      <c r="AQ680" s="242"/>
      <c r="AR680" s="243"/>
      <c r="AS680" s="243"/>
      <c r="AT680" s="232"/>
    </row>
    <row r="681" spans="1:46" ht="18" customHeight="1">
      <c r="A681" s="11"/>
      <c r="B681" s="11"/>
      <c r="C681" s="245">
        <v>1</v>
      </c>
      <c r="D681" s="245"/>
      <c r="E681" s="245"/>
      <c r="F681" s="245"/>
      <c r="G681" s="245"/>
      <c r="H681" s="240">
        <f>M641</f>
        <v>-32.12875567629739</v>
      </c>
      <c r="I681" s="240"/>
      <c r="J681" s="240"/>
      <c r="K681" s="240"/>
      <c r="L681" s="240"/>
      <c r="M681" s="240">
        <f>M642</f>
        <v>37.19668825943877</v>
      </c>
      <c r="N681" s="240"/>
      <c r="O681" s="240"/>
      <c r="P681" s="240"/>
      <c r="Q681" s="240"/>
      <c r="R681" s="240">
        <f>IF(H681&gt;=0,H663,L675)</f>
        <v>188.533</v>
      </c>
      <c r="S681" s="240"/>
      <c r="T681" s="240"/>
      <c r="U681" s="240"/>
      <c r="V681" s="240"/>
      <c r="W681" s="240">
        <f>IF(M681&gt;=0,H663,L675)</f>
        <v>210</v>
      </c>
      <c r="X681" s="240"/>
      <c r="Y681" s="240"/>
      <c r="Z681" s="240"/>
      <c r="AA681" s="240"/>
      <c r="AB681" s="240">
        <f>(H681/R681)^2</f>
        <v>0.029041099546524528</v>
      </c>
      <c r="AC681" s="240"/>
      <c r="AD681" s="240"/>
      <c r="AE681" s="240"/>
      <c r="AF681" s="240">
        <f>(M681/W681)^2</f>
        <v>0.03137400493128958</v>
      </c>
      <c r="AG681" s="240"/>
      <c r="AH681" s="240"/>
      <c r="AI681" s="240"/>
      <c r="AJ681" s="242">
        <f>(H681/R681)^2+(S643/AJ651)^2</f>
        <v>0.030787246827561305</v>
      </c>
      <c r="AK681" s="242"/>
      <c r="AL681" s="242"/>
      <c r="AM681" s="242"/>
      <c r="AN681" s="242">
        <f>(M681/W681)^2+(S643/AJ651)^2</f>
        <v>0.03312015221232636</v>
      </c>
      <c r="AO681" s="242"/>
      <c r="AP681" s="242"/>
      <c r="AQ681" s="242"/>
      <c r="AR681" s="243"/>
      <c r="AS681" s="243"/>
      <c r="AT681" s="232"/>
    </row>
    <row r="682" spans="1:46" ht="18" customHeight="1">
      <c r="A682" s="11"/>
      <c r="B682" s="11"/>
      <c r="C682" s="245" t="s">
        <v>61</v>
      </c>
      <c r="D682" s="245"/>
      <c r="E682" s="245"/>
      <c r="F682" s="245"/>
      <c r="G682" s="245"/>
      <c r="H682" s="240">
        <f>M641+N646</f>
        <v>-52.66977238110354</v>
      </c>
      <c r="I682" s="240"/>
      <c r="J682" s="240"/>
      <c r="K682" s="240"/>
      <c r="L682" s="240"/>
      <c r="M682" s="240">
        <f>M642+N647</f>
        <v>60.977808281596154</v>
      </c>
      <c r="N682" s="240"/>
      <c r="O682" s="240"/>
      <c r="P682" s="240"/>
      <c r="Q682" s="240"/>
      <c r="R682" s="240">
        <f>R681</f>
        <v>188.533</v>
      </c>
      <c r="S682" s="240"/>
      <c r="T682" s="240"/>
      <c r="U682" s="240"/>
      <c r="V682" s="240"/>
      <c r="W682" s="240">
        <f>W681</f>
        <v>210</v>
      </c>
      <c r="X682" s="240"/>
      <c r="Y682" s="240"/>
      <c r="Z682" s="240"/>
      <c r="AA682" s="240"/>
      <c r="AB682" s="240">
        <f>(H682/R682)^2</f>
        <v>0.07804554659613323</v>
      </c>
      <c r="AC682" s="240"/>
      <c r="AD682" s="240"/>
      <c r="AE682" s="240"/>
      <c r="AF682" s="240">
        <f>(M682/W682)^2</f>
        <v>0.08431503634528563</v>
      </c>
      <c r="AG682" s="240"/>
      <c r="AH682" s="240"/>
      <c r="AI682" s="240"/>
      <c r="AJ682" s="242">
        <f>(H682/R682)^2+(Z651/AJ651)^2</f>
        <v>0.09148460116079889</v>
      </c>
      <c r="AK682" s="242"/>
      <c r="AL682" s="242"/>
      <c r="AM682" s="242"/>
      <c r="AN682" s="242">
        <f>(M682/W682)^2+(Z651/AJ651)^2</f>
        <v>0.09775409090995128</v>
      </c>
      <c r="AO682" s="242"/>
      <c r="AP682" s="242"/>
      <c r="AQ682" s="242"/>
      <c r="AR682" s="243"/>
      <c r="AS682" s="243"/>
      <c r="AT682" s="232"/>
    </row>
    <row r="683" spans="1:45" ht="18" customHeight="1">
      <c r="A683" s="11"/>
      <c r="B683" s="11"/>
      <c r="C683" s="11" t="s">
        <v>48</v>
      </c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227"/>
      <c r="AA683" s="11"/>
      <c r="AB683" s="11"/>
      <c r="AC683" s="11"/>
      <c r="AD683" s="11"/>
      <c r="AE683" s="11"/>
      <c r="AF683" s="11"/>
      <c r="AG683" s="11"/>
      <c r="AH683" s="11"/>
      <c r="AI683" s="11"/>
      <c r="AJ683" s="11"/>
      <c r="AK683" s="11"/>
      <c r="AL683" s="11"/>
      <c r="AM683" s="11"/>
      <c r="AN683" s="11"/>
      <c r="AO683" s="11"/>
      <c r="AP683" s="11"/>
      <c r="AQ683" s="11"/>
      <c r="AR683" s="11"/>
      <c r="AS683" s="11"/>
    </row>
    <row r="684" spans="1:45" ht="18" customHeight="1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  <c r="AD684" s="11"/>
      <c r="AE684" s="11"/>
      <c r="AF684" s="11"/>
      <c r="AG684" s="11"/>
      <c r="AH684" s="11"/>
      <c r="AI684" s="11"/>
      <c r="AJ684" s="11"/>
      <c r="AK684" s="11"/>
      <c r="AL684" s="11"/>
      <c r="AM684" s="11"/>
      <c r="AN684" s="11"/>
      <c r="AO684" s="11"/>
      <c r="AP684" s="11"/>
      <c r="AQ684" s="11"/>
      <c r="AR684" s="11"/>
      <c r="AS684" s="11"/>
    </row>
    <row r="685" spans="1:45" ht="18" customHeight="1">
      <c r="A685" s="11"/>
      <c r="B685" s="11" t="s">
        <v>62</v>
      </c>
      <c r="C685" s="11"/>
      <c r="D685" s="11"/>
      <c r="E685" s="11"/>
      <c r="F685" s="11"/>
      <c r="G685" s="11"/>
      <c r="H685" s="11"/>
      <c r="I685" s="11"/>
      <c r="J685" s="11"/>
      <c r="K685" s="227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  <c r="AD685" s="11"/>
      <c r="AE685" s="11"/>
      <c r="AF685" s="11"/>
      <c r="AG685" s="11"/>
      <c r="AH685" s="11"/>
      <c r="AI685" s="11"/>
      <c r="AJ685" s="11"/>
      <c r="AK685" s="11"/>
      <c r="AL685" s="11"/>
      <c r="AM685" s="11"/>
      <c r="AN685" s="11"/>
      <c r="AO685" s="11"/>
      <c r="AP685" s="11"/>
      <c r="AQ685" s="11"/>
      <c r="AR685" s="11"/>
      <c r="AS685" s="11"/>
    </row>
    <row r="686" spans="1:45" ht="18" customHeight="1">
      <c r="A686" s="11"/>
      <c r="B686" s="11"/>
      <c r="C686" s="11"/>
      <c r="D686" s="11"/>
      <c r="E686" s="11" t="s">
        <v>49</v>
      </c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  <c r="AD686" s="11"/>
      <c r="AE686" s="11"/>
      <c r="AF686" s="11"/>
      <c r="AG686" s="11"/>
      <c r="AH686" s="11"/>
      <c r="AI686" s="11"/>
      <c r="AJ686" s="11"/>
      <c r="AK686" s="11"/>
      <c r="AL686" s="11"/>
      <c r="AM686" s="11"/>
      <c r="AN686" s="11"/>
      <c r="AO686" s="11"/>
      <c r="AP686" s="11"/>
      <c r="AQ686" s="11"/>
      <c r="AR686" s="11"/>
      <c r="AS686" s="11"/>
    </row>
    <row r="687" spans="1:45" ht="18" customHeight="1">
      <c r="A687" s="11"/>
      <c r="B687" s="11"/>
      <c r="C687" s="11"/>
      <c r="D687" s="11"/>
      <c r="E687" s="11"/>
      <c r="F687" s="316" t="s">
        <v>85</v>
      </c>
      <c r="G687" s="234" t="s">
        <v>97</v>
      </c>
      <c r="H687" s="234"/>
      <c r="I687" s="317">
        <v>0</v>
      </c>
      <c r="J687" s="51"/>
      <c r="K687" s="51"/>
      <c r="L687" s="51"/>
      <c r="M687" s="234" t="s">
        <v>98</v>
      </c>
      <c r="N687" s="234"/>
      <c r="O687" s="318">
        <v>0</v>
      </c>
      <c r="P687" s="51"/>
      <c r="Q687" s="51" t="s">
        <v>79</v>
      </c>
      <c r="R687" s="319" t="s">
        <v>85</v>
      </c>
      <c r="S687" s="234">
        <f>IF(AB681=R689,H681,IF(AB682=R689,H682,"ERROR"))</f>
        <v>-52.66977238110354</v>
      </c>
      <c r="T687" s="234"/>
      <c r="U687" s="234"/>
      <c r="V687" s="234"/>
      <c r="W687" s="234"/>
      <c r="X687" s="320">
        <v>0</v>
      </c>
      <c r="Y687" s="51"/>
      <c r="Z687" s="51" t="s">
        <v>78</v>
      </c>
      <c r="AA687" s="321" t="s">
        <v>85</v>
      </c>
      <c r="AB687" s="234">
        <f>Z651</f>
        <v>13.911232358464344</v>
      </c>
      <c r="AC687" s="234"/>
      <c r="AD687" s="234"/>
      <c r="AE687" s="234"/>
      <c r="AF687" s="234"/>
      <c r="AG687" s="322">
        <v>0</v>
      </c>
      <c r="AH687" s="51"/>
      <c r="AI687" s="11"/>
      <c r="AJ687" s="11"/>
      <c r="AK687" s="11"/>
      <c r="AL687" s="11"/>
      <c r="AM687" s="11"/>
      <c r="AN687" s="11"/>
      <c r="AO687" s="11"/>
      <c r="AP687" s="11"/>
      <c r="AQ687" s="11"/>
      <c r="AR687" s="11"/>
      <c r="AS687" s="11"/>
    </row>
    <row r="688" spans="1:45" ht="18" customHeight="1">
      <c r="A688" s="11"/>
      <c r="B688" s="11"/>
      <c r="C688" s="11"/>
      <c r="D688" s="11"/>
      <c r="E688" s="11"/>
      <c r="F688" s="51"/>
      <c r="G688" s="237" t="s">
        <v>99</v>
      </c>
      <c r="H688" s="237"/>
      <c r="I688" s="51"/>
      <c r="J688" s="51"/>
      <c r="K688" s="51"/>
      <c r="L688" s="51"/>
      <c r="M688" s="237" t="s">
        <v>100</v>
      </c>
      <c r="N688" s="237"/>
      <c r="O688" s="51"/>
      <c r="P688" s="51"/>
      <c r="Q688" s="51"/>
      <c r="R688" s="51"/>
      <c r="S688" s="237">
        <f>IF(AB681=R689,R681,IF(AB682=R689,R682,"ERROR"))</f>
        <v>188.533</v>
      </c>
      <c r="T688" s="237"/>
      <c r="U688" s="237"/>
      <c r="V688" s="237"/>
      <c r="W688" s="237"/>
      <c r="X688" s="51"/>
      <c r="Y688" s="51"/>
      <c r="Z688" s="51"/>
      <c r="AA688" s="51"/>
      <c r="AB688" s="237">
        <f>AJ651</f>
        <v>120</v>
      </c>
      <c r="AC688" s="237"/>
      <c r="AD688" s="237"/>
      <c r="AE688" s="237"/>
      <c r="AF688" s="237"/>
      <c r="AG688" s="51"/>
      <c r="AH688" s="51"/>
      <c r="AI688" s="11"/>
      <c r="AJ688" s="11"/>
      <c r="AK688" s="11"/>
      <c r="AL688" s="11"/>
      <c r="AM688" s="11"/>
      <c r="AN688" s="11"/>
      <c r="AO688" s="11"/>
      <c r="AP688" s="11"/>
      <c r="AQ688" s="11"/>
      <c r="AR688" s="11"/>
      <c r="AS688" s="11"/>
    </row>
    <row r="689" spans="1:45" ht="18" customHeight="1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 t="s">
        <v>79</v>
      </c>
      <c r="R689" s="51">
        <f>MAX(AB681:AB682)</f>
        <v>0.07804554659613323</v>
      </c>
      <c r="S689" s="51"/>
      <c r="T689" s="51"/>
      <c r="U689" s="51"/>
      <c r="V689" s="11" t="s">
        <v>78</v>
      </c>
      <c r="W689" s="51">
        <f>(Z651/AJ651)^2</f>
        <v>0.013439054564665655</v>
      </c>
      <c r="X689" s="51"/>
      <c r="Y689" s="51"/>
      <c r="Z689" s="51"/>
      <c r="AA689" s="11" t="s">
        <v>79</v>
      </c>
      <c r="AB689" s="51">
        <f>R689+W689</f>
        <v>0.09148460116079889</v>
      </c>
      <c r="AC689" s="51"/>
      <c r="AD689" s="51"/>
      <c r="AE689" s="51"/>
      <c r="AF689" s="11"/>
      <c r="AG689" s="11" t="str">
        <f>IF(AB689&gt;AI689,"＞","＜")</f>
        <v>＜</v>
      </c>
      <c r="AH689" s="11"/>
      <c r="AI689" s="219">
        <v>1.2</v>
      </c>
      <c r="AJ689" s="51"/>
      <c r="AK689" s="51"/>
      <c r="AL689" s="11"/>
      <c r="AM689" s="11" t="str">
        <f>IF(AB689&lt;AI689,"O.K.","N.G.")</f>
        <v>O.K.</v>
      </c>
      <c r="AN689" s="11"/>
      <c r="AO689" s="11"/>
      <c r="AP689" s="11"/>
      <c r="AQ689" s="11"/>
      <c r="AR689" s="11"/>
      <c r="AS689" s="11"/>
    </row>
    <row r="690" spans="1:45" ht="18" customHeight="1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  <c r="AD690" s="11"/>
      <c r="AE690" s="11"/>
      <c r="AF690" s="11"/>
      <c r="AG690" s="11"/>
      <c r="AH690" s="11"/>
      <c r="AI690" s="11"/>
      <c r="AJ690" s="11"/>
      <c r="AK690" s="11"/>
      <c r="AL690" s="11"/>
      <c r="AM690" s="11"/>
      <c r="AN690" s="11"/>
      <c r="AO690" s="11"/>
      <c r="AP690" s="11"/>
      <c r="AQ690" s="11"/>
      <c r="AR690" s="11"/>
      <c r="AS690" s="11"/>
    </row>
    <row r="691" spans="1:45" ht="18" customHeight="1">
      <c r="A691" s="11"/>
      <c r="B691" s="11"/>
      <c r="C691" s="11"/>
      <c r="D691" s="11"/>
      <c r="E691" s="11" t="s">
        <v>50</v>
      </c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  <c r="AD691" s="11"/>
      <c r="AE691" s="11"/>
      <c r="AF691" s="11"/>
      <c r="AG691" s="11"/>
      <c r="AH691" s="11"/>
      <c r="AI691" s="11"/>
      <c r="AJ691" s="11"/>
      <c r="AK691" s="11"/>
      <c r="AL691" s="11"/>
      <c r="AM691" s="11"/>
      <c r="AN691" s="11"/>
      <c r="AO691" s="11"/>
      <c r="AP691" s="11"/>
      <c r="AQ691" s="11"/>
      <c r="AR691" s="11"/>
      <c r="AS691" s="11"/>
    </row>
    <row r="692" spans="1:45" ht="18" customHeight="1">
      <c r="A692" s="11"/>
      <c r="B692" s="11"/>
      <c r="C692" s="11"/>
      <c r="D692" s="11"/>
      <c r="E692" s="11"/>
      <c r="F692" s="323" t="s">
        <v>85</v>
      </c>
      <c r="G692" s="234" t="s">
        <v>97</v>
      </c>
      <c r="H692" s="234"/>
      <c r="I692" s="324">
        <v>0</v>
      </c>
      <c r="J692" s="51"/>
      <c r="K692" s="51"/>
      <c r="L692" s="51"/>
      <c r="M692" s="234" t="s">
        <v>98</v>
      </c>
      <c r="N692" s="234"/>
      <c r="O692" s="325">
        <v>0</v>
      </c>
      <c r="P692" s="51"/>
      <c r="Q692" s="51" t="s">
        <v>79</v>
      </c>
      <c r="R692" s="326" t="s">
        <v>85</v>
      </c>
      <c r="S692" s="234">
        <f>IF(AF681=R694,M681,IF(AF682=R694,M682,"ERROR"))</f>
        <v>60.977808281596154</v>
      </c>
      <c r="T692" s="234"/>
      <c r="U692" s="234"/>
      <c r="V692" s="234"/>
      <c r="W692" s="234"/>
      <c r="X692" s="327">
        <v>0</v>
      </c>
      <c r="Y692" s="51"/>
      <c r="Z692" s="51" t="s">
        <v>78</v>
      </c>
      <c r="AA692" s="328" t="s">
        <v>85</v>
      </c>
      <c r="AB692" s="234">
        <f>Z651</f>
        <v>13.911232358464344</v>
      </c>
      <c r="AC692" s="234"/>
      <c r="AD692" s="234"/>
      <c r="AE692" s="234"/>
      <c r="AF692" s="234"/>
      <c r="AG692" s="329">
        <v>0</v>
      </c>
      <c r="AH692" s="51"/>
      <c r="AI692" s="11"/>
      <c r="AJ692" s="11"/>
      <c r="AK692" s="11"/>
      <c r="AL692" s="11"/>
      <c r="AM692" s="11"/>
      <c r="AN692" s="11"/>
      <c r="AO692" s="11"/>
      <c r="AP692" s="11"/>
      <c r="AQ692" s="11"/>
      <c r="AR692" s="11"/>
      <c r="AS692" s="11"/>
    </row>
    <row r="693" spans="1:45" ht="18" customHeight="1">
      <c r="A693" s="11"/>
      <c r="B693" s="11"/>
      <c r="C693" s="11"/>
      <c r="D693" s="11"/>
      <c r="E693" s="11"/>
      <c r="F693" s="51"/>
      <c r="G693" s="237" t="s">
        <v>99</v>
      </c>
      <c r="H693" s="237"/>
      <c r="I693" s="51"/>
      <c r="J693" s="51"/>
      <c r="K693" s="51"/>
      <c r="L693" s="51"/>
      <c r="M693" s="237" t="s">
        <v>100</v>
      </c>
      <c r="N693" s="237"/>
      <c r="O693" s="51"/>
      <c r="P693" s="51"/>
      <c r="Q693" s="51"/>
      <c r="R693" s="51"/>
      <c r="S693" s="237">
        <f>IF(AF681=R694,W681,IF(AF682=R694,W682,"ERROR"))</f>
        <v>210</v>
      </c>
      <c r="T693" s="237"/>
      <c r="U693" s="237"/>
      <c r="V693" s="237"/>
      <c r="W693" s="237"/>
      <c r="X693" s="51"/>
      <c r="Y693" s="51"/>
      <c r="Z693" s="51"/>
      <c r="AA693" s="51"/>
      <c r="AB693" s="237">
        <f>AJ651</f>
        <v>120</v>
      </c>
      <c r="AC693" s="237"/>
      <c r="AD693" s="237"/>
      <c r="AE693" s="237"/>
      <c r="AF693" s="237"/>
      <c r="AG693" s="51"/>
      <c r="AH693" s="51"/>
      <c r="AI693" s="11"/>
      <c r="AJ693" s="11"/>
      <c r="AK693" s="11"/>
      <c r="AL693" s="11"/>
      <c r="AM693" s="11"/>
      <c r="AN693" s="11"/>
      <c r="AO693" s="11"/>
      <c r="AP693" s="11"/>
      <c r="AQ693" s="11"/>
      <c r="AR693" s="11"/>
      <c r="AS693" s="11"/>
    </row>
    <row r="694" spans="1:45" ht="18" customHeight="1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 t="s">
        <v>79</v>
      </c>
      <c r="R694" s="51">
        <f>MAX(AF681:AF682)</f>
        <v>0.08431503634528563</v>
      </c>
      <c r="S694" s="51"/>
      <c r="T694" s="51"/>
      <c r="U694" s="51"/>
      <c r="V694" s="11" t="s">
        <v>78</v>
      </c>
      <c r="W694" s="51">
        <f>(Z651/AJ651)^2</f>
        <v>0.013439054564665655</v>
      </c>
      <c r="X694" s="51"/>
      <c r="Y694" s="51"/>
      <c r="Z694" s="51"/>
      <c r="AA694" s="11" t="s">
        <v>79</v>
      </c>
      <c r="AB694" s="51">
        <f>R694+W694</f>
        <v>0.09775409090995128</v>
      </c>
      <c r="AC694" s="51"/>
      <c r="AD694" s="51"/>
      <c r="AE694" s="51"/>
      <c r="AF694" s="11"/>
      <c r="AG694" s="11" t="str">
        <f>IF(AB694&gt;AI694,"＞","＜")</f>
        <v>＜</v>
      </c>
      <c r="AH694" s="11"/>
      <c r="AI694" s="219">
        <v>1.2</v>
      </c>
      <c r="AJ694" s="51"/>
      <c r="AK694" s="51"/>
      <c r="AL694" s="11"/>
      <c r="AM694" s="11" t="str">
        <f>IF(AB694&lt;AI694,"O.K.","N.G.")</f>
        <v>O.K.</v>
      </c>
      <c r="AN694" s="11"/>
      <c r="AO694" s="11"/>
      <c r="AP694" s="11"/>
      <c r="AQ694" s="11"/>
      <c r="AR694" s="11"/>
      <c r="AS694" s="11"/>
    </row>
    <row r="696" spans="21:31" ht="18" customHeight="1">
      <c r="U696" s="11"/>
      <c r="V696" s="11"/>
      <c r="W696" s="11"/>
      <c r="X696" s="11"/>
      <c r="Y696" s="11"/>
      <c r="Z696" s="11"/>
      <c r="AA696" s="11"/>
      <c r="AB696" s="11"/>
      <c r="AC696" s="11"/>
      <c r="AD696" s="11"/>
      <c r="AE696" s="11"/>
    </row>
  </sheetData>
  <mergeCells count="2910">
    <mergeCell ref="E3:F3"/>
    <mergeCell ref="C98:G98"/>
    <mergeCell ref="C99:G99"/>
    <mergeCell ref="AF97:AI97"/>
    <mergeCell ref="AF98:AI98"/>
    <mergeCell ref="AF99:AI99"/>
    <mergeCell ref="AB98:AE98"/>
    <mergeCell ref="AB99:AE99"/>
    <mergeCell ref="H99:L99"/>
    <mergeCell ref="M99:Q99"/>
    <mergeCell ref="AN99:AQ99"/>
    <mergeCell ref="AB95:AI96"/>
    <mergeCell ref="AJ95:AQ95"/>
    <mergeCell ref="AJ96:AQ96"/>
    <mergeCell ref="AB97:AE97"/>
    <mergeCell ref="AN97:AQ97"/>
    <mergeCell ref="AJ97:AM97"/>
    <mergeCell ref="AJ98:AM98"/>
    <mergeCell ref="AJ99:AM99"/>
    <mergeCell ref="BG85:BI85"/>
    <mergeCell ref="BG86:BI86"/>
    <mergeCell ref="AN98:AQ98"/>
    <mergeCell ref="AU86:AW86"/>
    <mergeCell ref="AX86:AZ86"/>
    <mergeCell ref="BA86:BC86"/>
    <mergeCell ref="BD86:BF86"/>
    <mergeCell ref="AU85:AW85"/>
    <mergeCell ref="AX85:AZ85"/>
    <mergeCell ref="BA85:BC85"/>
    <mergeCell ref="AU83:AW83"/>
    <mergeCell ref="BG68:BI68"/>
    <mergeCell ref="BG69:BI69"/>
    <mergeCell ref="BD68:BF68"/>
    <mergeCell ref="BG70:BI70"/>
    <mergeCell ref="BG71:BI71"/>
    <mergeCell ref="BG73:BI73"/>
    <mergeCell ref="BG74:BI74"/>
    <mergeCell ref="BG75:BI75"/>
    <mergeCell ref="BG83:BI83"/>
    <mergeCell ref="BG76:BI76"/>
    <mergeCell ref="BJ81:BL81"/>
    <mergeCell ref="BG78:BI78"/>
    <mergeCell ref="BG79:BI79"/>
    <mergeCell ref="BG80:BI80"/>
    <mergeCell ref="CH80:CJ80"/>
    <mergeCell ref="CH81:CJ81"/>
    <mergeCell ref="BJ85:BL85"/>
    <mergeCell ref="BJ83:BL83"/>
    <mergeCell ref="BY81:CA81"/>
    <mergeCell ref="CB81:CD81"/>
    <mergeCell ref="CE81:CG81"/>
    <mergeCell ref="BY80:CA80"/>
    <mergeCell ref="CB80:CD80"/>
    <mergeCell ref="CE80:CG80"/>
    <mergeCell ref="BS81:BU81"/>
    <mergeCell ref="BM81:BO81"/>
    <mergeCell ref="BP81:BR81"/>
    <mergeCell ref="BJ86:BL86"/>
    <mergeCell ref="BM86:BO86"/>
    <mergeCell ref="BP86:BR86"/>
    <mergeCell ref="BS86:BU86"/>
    <mergeCell ref="BJ84:BL84"/>
    <mergeCell ref="BM84:BO84"/>
    <mergeCell ref="BP84:BR84"/>
    <mergeCell ref="BV80:BX80"/>
    <mergeCell ref="AU81:AW81"/>
    <mergeCell ref="AX81:AZ81"/>
    <mergeCell ref="BA81:BC81"/>
    <mergeCell ref="BD81:BF81"/>
    <mergeCell ref="BG81:BI81"/>
    <mergeCell ref="BV81:BX81"/>
    <mergeCell ref="BM80:BO80"/>
    <mergeCell ref="BP80:BR80"/>
    <mergeCell ref="BS80:BU80"/>
    <mergeCell ref="BS79:BU79"/>
    <mergeCell ref="AX80:AZ80"/>
    <mergeCell ref="BA80:BC80"/>
    <mergeCell ref="BD80:BF80"/>
    <mergeCell ref="BJ80:BL80"/>
    <mergeCell ref="BP79:BR79"/>
    <mergeCell ref="CH78:CJ78"/>
    <mergeCell ref="AU79:AW79"/>
    <mergeCell ref="AX79:AZ79"/>
    <mergeCell ref="BA79:BC79"/>
    <mergeCell ref="BD79:BF79"/>
    <mergeCell ref="CB79:CD79"/>
    <mergeCell ref="CE79:CG79"/>
    <mergeCell ref="BJ79:BL79"/>
    <mergeCell ref="CH79:CJ79"/>
    <mergeCell ref="BM79:BO79"/>
    <mergeCell ref="BV79:BX79"/>
    <mergeCell ref="BY79:CA79"/>
    <mergeCell ref="CB78:CD78"/>
    <mergeCell ref="CE78:CG78"/>
    <mergeCell ref="BV78:BX78"/>
    <mergeCell ref="BY78:CA78"/>
    <mergeCell ref="AB57:AF57"/>
    <mergeCell ref="M55:P55"/>
    <mergeCell ref="U55:V55"/>
    <mergeCell ref="AD55:AI55"/>
    <mergeCell ref="P56:T56"/>
    <mergeCell ref="V56:Y56"/>
    <mergeCell ref="AA56:AE56"/>
    <mergeCell ref="X55:AB55"/>
    <mergeCell ref="CE76:CG76"/>
    <mergeCell ref="BV76:BX76"/>
    <mergeCell ref="AU78:AW78"/>
    <mergeCell ref="AX78:AZ78"/>
    <mergeCell ref="BA78:BC78"/>
    <mergeCell ref="BD78:BF78"/>
    <mergeCell ref="BJ78:BL78"/>
    <mergeCell ref="BM78:BO78"/>
    <mergeCell ref="BP78:BR78"/>
    <mergeCell ref="BS78:BU78"/>
    <mergeCell ref="AQ18:AR18"/>
    <mergeCell ref="K33:M33"/>
    <mergeCell ref="N33:P33"/>
    <mergeCell ref="Q33:T33"/>
    <mergeCell ref="U33:X33"/>
    <mergeCell ref="AD32:AI32"/>
    <mergeCell ref="AJ32:AO32"/>
    <mergeCell ref="K32:M32"/>
    <mergeCell ref="N32:P32"/>
    <mergeCell ref="Q32:T32"/>
    <mergeCell ref="CA12:CC12"/>
    <mergeCell ref="CA13:CC13"/>
    <mergeCell ref="AG12:AI12"/>
    <mergeCell ref="AG13:AI13"/>
    <mergeCell ref="Y33:AC33"/>
    <mergeCell ref="AD33:AI33"/>
    <mergeCell ref="AC26:AF26"/>
    <mergeCell ref="AG26:AL26"/>
    <mergeCell ref="AJ33:AO33"/>
    <mergeCell ref="AJ31:AO31"/>
    <mergeCell ref="Y32:AC32"/>
    <mergeCell ref="AG27:AL27"/>
    <mergeCell ref="AJ30:AO30"/>
    <mergeCell ref="CA14:CC14"/>
    <mergeCell ref="X13:Z13"/>
    <mergeCell ref="CA15:CC15"/>
    <mergeCell ref="CA16:CC16"/>
    <mergeCell ref="CH86:CJ86"/>
    <mergeCell ref="BV86:BX86"/>
    <mergeCell ref="BY86:CA86"/>
    <mergeCell ref="CB86:CD86"/>
    <mergeCell ref="CE86:CG86"/>
    <mergeCell ref="BD85:BF85"/>
    <mergeCell ref="CH84:CJ84"/>
    <mergeCell ref="BM85:BO85"/>
    <mergeCell ref="BP85:BR85"/>
    <mergeCell ref="BS85:BU85"/>
    <mergeCell ref="BV85:BX85"/>
    <mergeCell ref="BY85:CA85"/>
    <mergeCell ref="CB85:CD85"/>
    <mergeCell ref="CE85:CG85"/>
    <mergeCell ref="CH85:CJ85"/>
    <mergeCell ref="BV84:BX84"/>
    <mergeCell ref="BY84:CA84"/>
    <mergeCell ref="CB84:CD84"/>
    <mergeCell ref="CE84:CG84"/>
    <mergeCell ref="BS84:BU84"/>
    <mergeCell ref="AU84:AW84"/>
    <mergeCell ref="AX84:AZ84"/>
    <mergeCell ref="BA84:BC84"/>
    <mergeCell ref="BD84:BF84"/>
    <mergeCell ref="BG84:BI84"/>
    <mergeCell ref="BY83:CA83"/>
    <mergeCell ref="CB83:CD83"/>
    <mergeCell ref="CE83:CG83"/>
    <mergeCell ref="CH83:CJ83"/>
    <mergeCell ref="AU80:AW80"/>
    <mergeCell ref="BY76:CA76"/>
    <mergeCell ref="CB76:CD76"/>
    <mergeCell ref="BM83:BO83"/>
    <mergeCell ref="BP83:BR83"/>
    <mergeCell ref="BS83:BU83"/>
    <mergeCell ref="AX83:AZ83"/>
    <mergeCell ref="BA83:BC83"/>
    <mergeCell ref="BD83:BF83"/>
    <mergeCell ref="BV83:BX83"/>
    <mergeCell ref="CH76:CJ76"/>
    <mergeCell ref="CH75:CJ75"/>
    <mergeCell ref="AU76:AW76"/>
    <mergeCell ref="AX76:AZ76"/>
    <mergeCell ref="BA76:BC76"/>
    <mergeCell ref="BD76:BF76"/>
    <mergeCell ref="BJ76:BL76"/>
    <mergeCell ref="BM76:BO76"/>
    <mergeCell ref="BP76:BR76"/>
    <mergeCell ref="BS76:BU76"/>
    <mergeCell ref="BV75:BX75"/>
    <mergeCell ref="BY75:CA75"/>
    <mergeCell ref="CB75:CD75"/>
    <mergeCell ref="CE75:CG75"/>
    <mergeCell ref="BJ75:BL75"/>
    <mergeCell ref="BM75:BO75"/>
    <mergeCell ref="BP75:BR75"/>
    <mergeCell ref="BS75:BU75"/>
    <mergeCell ref="AU75:AW75"/>
    <mergeCell ref="AX75:AZ75"/>
    <mergeCell ref="BA75:BC75"/>
    <mergeCell ref="BD75:BF75"/>
    <mergeCell ref="BY74:CA74"/>
    <mergeCell ref="CB74:CD74"/>
    <mergeCell ref="CE74:CG74"/>
    <mergeCell ref="CH74:CJ74"/>
    <mergeCell ref="CH73:CJ73"/>
    <mergeCell ref="AU74:AW74"/>
    <mergeCell ref="AX74:AZ74"/>
    <mergeCell ref="BA74:BC74"/>
    <mergeCell ref="BD74:BF74"/>
    <mergeCell ref="BJ74:BL74"/>
    <mergeCell ref="BM74:BO74"/>
    <mergeCell ref="BP74:BR74"/>
    <mergeCell ref="BS74:BU74"/>
    <mergeCell ref="BV74:BX74"/>
    <mergeCell ref="BV73:BX73"/>
    <mergeCell ref="BY73:CA73"/>
    <mergeCell ref="CB73:CD73"/>
    <mergeCell ref="CE73:CG73"/>
    <mergeCell ref="CH71:CJ71"/>
    <mergeCell ref="AU73:AW73"/>
    <mergeCell ref="AX73:AZ73"/>
    <mergeCell ref="BA73:BC73"/>
    <mergeCell ref="BD73:BF73"/>
    <mergeCell ref="BJ73:BL73"/>
    <mergeCell ref="BM73:BO73"/>
    <mergeCell ref="BP73:BR73"/>
    <mergeCell ref="BS73:BU73"/>
    <mergeCell ref="BV71:BX71"/>
    <mergeCell ref="BY71:CA71"/>
    <mergeCell ref="CB71:CD71"/>
    <mergeCell ref="CE71:CG71"/>
    <mergeCell ref="BJ71:BL71"/>
    <mergeCell ref="BM71:BO71"/>
    <mergeCell ref="BP71:BR71"/>
    <mergeCell ref="BS71:BU71"/>
    <mergeCell ref="AU71:AW71"/>
    <mergeCell ref="AX71:AZ71"/>
    <mergeCell ref="BA71:BC71"/>
    <mergeCell ref="BD71:BF71"/>
    <mergeCell ref="BY70:CA70"/>
    <mergeCell ref="CB70:CD70"/>
    <mergeCell ref="CE70:CG70"/>
    <mergeCell ref="CH70:CJ70"/>
    <mergeCell ref="CH69:CJ69"/>
    <mergeCell ref="AU70:AW70"/>
    <mergeCell ref="AX70:AZ70"/>
    <mergeCell ref="BA70:BC70"/>
    <mergeCell ref="BD70:BF70"/>
    <mergeCell ref="BJ70:BL70"/>
    <mergeCell ref="BM70:BO70"/>
    <mergeCell ref="BP70:BR70"/>
    <mergeCell ref="BS70:BU70"/>
    <mergeCell ref="BV70:BX70"/>
    <mergeCell ref="BV69:BX69"/>
    <mergeCell ref="BY69:CA69"/>
    <mergeCell ref="CB69:CD69"/>
    <mergeCell ref="CE69:CG69"/>
    <mergeCell ref="CE68:CG68"/>
    <mergeCell ref="CH68:CJ68"/>
    <mergeCell ref="AU69:AW69"/>
    <mergeCell ref="AX69:AZ69"/>
    <mergeCell ref="BA69:BC69"/>
    <mergeCell ref="BD69:BF69"/>
    <mergeCell ref="BJ69:BL69"/>
    <mergeCell ref="BM69:BO69"/>
    <mergeCell ref="BP69:BR69"/>
    <mergeCell ref="BS69:BU69"/>
    <mergeCell ref="BS68:BU68"/>
    <mergeCell ref="BV68:BX68"/>
    <mergeCell ref="BY68:CA68"/>
    <mergeCell ref="CB68:CD68"/>
    <mergeCell ref="BJ68:BL68"/>
    <mergeCell ref="BM68:BO68"/>
    <mergeCell ref="BP68:BR68"/>
    <mergeCell ref="AU68:AW68"/>
    <mergeCell ref="AX68:AZ68"/>
    <mergeCell ref="BA68:BC68"/>
    <mergeCell ref="AG109:AH110"/>
    <mergeCell ref="W111:Z111"/>
    <mergeCell ref="AB111:AE111"/>
    <mergeCell ref="AI111:AK111"/>
    <mergeCell ref="X109:Y110"/>
    <mergeCell ref="Z109:Z110"/>
    <mergeCell ref="AA109:AA110"/>
    <mergeCell ref="AB109:AF109"/>
    <mergeCell ref="AB110:AF110"/>
    <mergeCell ref="R111:U111"/>
    <mergeCell ref="R109:R110"/>
    <mergeCell ref="S109:W109"/>
    <mergeCell ref="S110:W110"/>
    <mergeCell ref="M109:N109"/>
    <mergeCell ref="M110:N110"/>
    <mergeCell ref="O109:P110"/>
    <mergeCell ref="Q109:Q110"/>
    <mergeCell ref="F109:F110"/>
    <mergeCell ref="G109:H109"/>
    <mergeCell ref="G110:H110"/>
    <mergeCell ref="I109:L110"/>
    <mergeCell ref="AG104:AH105"/>
    <mergeCell ref="W106:Z106"/>
    <mergeCell ref="AB106:AE106"/>
    <mergeCell ref="AI106:AK106"/>
    <mergeCell ref="X104:Y105"/>
    <mergeCell ref="Z104:Z105"/>
    <mergeCell ref="AA104:AA105"/>
    <mergeCell ref="AB104:AF104"/>
    <mergeCell ref="AB105:AF105"/>
    <mergeCell ref="R106:U106"/>
    <mergeCell ref="R104:R105"/>
    <mergeCell ref="S104:W104"/>
    <mergeCell ref="S105:W105"/>
    <mergeCell ref="M104:N104"/>
    <mergeCell ref="M105:N105"/>
    <mergeCell ref="O104:P105"/>
    <mergeCell ref="Q104:Q105"/>
    <mergeCell ref="F104:F105"/>
    <mergeCell ref="G104:H104"/>
    <mergeCell ref="G105:H105"/>
    <mergeCell ref="I104:L105"/>
    <mergeCell ref="W99:AA99"/>
    <mergeCell ref="R97:V97"/>
    <mergeCell ref="W97:AA97"/>
    <mergeCell ref="H98:L98"/>
    <mergeCell ref="M98:Q98"/>
    <mergeCell ref="R98:V98"/>
    <mergeCell ref="W98:AA98"/>
    <mergeCell ref="R99:V99"/>
    <mergeCell ref="C95:G97"/>
    <mergeCell ref="N90:Q90"/>
    <mergeCell ref="AA90:AD90"/>
    <mergeCell ref="J91:L91"/>
    <mergeCell ref="L92:O92"/>
    <mergeCell ref="H95:AA95"/>
    <mergeCell ref="H96:Q96"/>
    <mergeCell ref="R96:AA96"/>
    <mergeCell ref="H97:L97"/>
    <mergeCell ref="M97:Q97"/>
    <mergeCell ref="AC89:AD89"/>
    <mergeCell ref="AE88:AE89"/>
    <mergeCell ref="AF88:AH89"/>
    <mergeCell ref="AI88:AJ89"/>
    <mergeCell ref="Q88:R88"/>
    <mergeCell ref="P89:Q89"/>
    <mergeCell ref="U88:U89"/>
    <mergeCell ref="X88:Z88"/>
    <mergeCell ref="V89:W89"/>
    <mergeCell ref="Y89:AA89"/>
    <mergeCell ref="F88:G88"/>
    <mergeCell ref="E89:F89"/>
    <mergeCell ref="J88:J89"/>
    <mergeCell ref="K88:O89"/>
    <mergeCell ref="O87:Q87"/>
    <mergeCell ref="S87:T87"/>
    <mergeCell ref="AF87:AI87"/>
    <mergeCell ref="AC86:AD86"/>
    <mergeCell ref="AE85:AE86"/>
    <mergeCell ref="AF85:AH86"/>
    <mergeCell ref="AI85:AJ86"/>
    <mergeCell ref="Q85:R85"/>
    <mergeCell ref="P86:Q86"/>
    <mergeCell ref="U85:U86"/>
    <mergeCell ref="X85:Z85"/>
    <mergeCell ref="V86:W86"/>
    <mergeCell ref="Y86:AA86"/>
    <mergeCell ref="F85:G85"/>
    <mergeCell ref="E86:F86"/>
    <mergeCell ref="J85:J86"/>
    <mergeCell ref="K85:O86"/>
    <mergeCell ref="AF82:AG83"/>
    <mergeCell ref="O84:R84"/>
    <mergeCell ref="T82:V82"/>
    <mergeCell ref="R83:S83"/>
    <mergeCell ref="U83:W83"/>
    <mergeCell ref="Y83:Z83"/>
    <mergeCell ref="AA82:AB83"/>
    <mergeCell ref="AC82:AE83"/>
    <mergeCell ref="E82:I83"/>
    <mergeCell ref="K82:L82"/>
    <mergeCell ref="J83:K83"/>
    <mergeCell ref="P82:P83"/>
    <mergeCell ref="H80:K80"/>
    <mergeCell ref="S79:V79"/>
    <mergeCell ref="S81:V81"/>
    <mergeCell ref="V72:W72"/>
    <mergeCell ref="AF72:AI72"/>
    <mergeCell ref="S65:W65"/>
    <mergeCell ref="E72:G72"/>
    <mergeCell ref="J72:K72"/>
    <mergeCell ref="M72:N72"/>
    <mergeCell ref="Q72:S72"/>
    <mergeCell ref="Y72:Z72"/>
    <mergeCell ref="AC72:AD72"/>
    <mergeCell ref="AJ68:AL68"/>
    <mergeCell ref="N63:R63"/>
    <mergeCell ref="N64:R64"/>
    <mergeCell ref="M58:Q58"/>
    <mergeCell ref="M59:Q59"/>
    <mergeCell ref="S60:W60"/>
    <mergeCell ref="Z68:AC68"/>
    <mergeCell ref="Z52:AE52"/>
    <mergeCell ref="L53:P53"/>
    <mergeCell ref="R53:V53"/>
    <mergeCell ref="X53:AC53"/>
    <mergeCell ref="R52:X52"/>
    <mergeCell ref="L52:P52"/>
    <mergeCell ref="L54:P54"/>
    <mergeCell ref="R54:V54"/>
    <mergeCell ref="X54:AB54"/>
    <mergeCell ref="AD54:AI54"/>
    <mergeCell ref="AJ36:AO36"/>
    <mergeCell ref="C37:J37"/>
    <mergeCell ref="Q37:T37"/>
    <mergeCell ref="Y37:AC37"/>
    <mergeCell ref="AD37:AI37"/>
    <mergeCell ref="AJ37:AO37"/>
    <mergeCell ref="K36:M36"/>
    <mergeCell ref="N36:P36"/>
    <mergeCell ref="Q36:T36"/>
    <mergeCell ref="U36:X36"/>
    <mergeCell ref="Y36:AC36"/>
    <mergeCell ref="AD36:AI36"/>
    <mergeCell ref="AJ34:AO34"/>
    <mergeCell ref="K35:M35"/>
    <mergeCell ref="N35:P35"/>
    <mergeCell ref="Q35:T35"/>
    <mergeCell ref="U35:X35"/>
    <mergeCell ref="Y35:AC35"/>
    <mergeCell ref="AD35:AI35"/>
    <mergeCell ref="AJ35:AO35"/>
    <mergeCell ref="K34:M34"/>
    <mergeCell ref="N34:P34"/>
    <mergeCell ref="Y31:AC31"/>
    <mergeCell ref="AD31:AI31"/>
    <mergeCell ref="Q31:T31"/>
    <mergeCell ref="U31:X31"/>
    <mergeCell ref="Y34:AC34"/>
    <mergeCell ref="AD34:AI34"/>
    <mergeCell ref="Q34:T34"/>
    <mergeCell ref="U34:X34"/>
    <mergeCell ref="U32:X32"/>
    <mergeCell ref="K31:M31"/>
    <mergeCell ref="N31:P31"/>
    <mergeCell ref="AC27:AF27"/>
    <mergeCell ref="U30:X30"/>
    <mergeCell ref="Y30:AC30"/>
    <mergeCell ref="AD30:AI30"/>
    <mergeCell ref="C30:J30"/>
    <mergeCell ref="K30:M30"/>
    <mergeCell ref="N30:P30"/>
    <mergeCell ref="Q30:T30"/>
    <mergeCell ref="AC25:AF25"/>
    <mergeCell ref="AG25:AL25"/>
    <mergeCell ref="AC23:AF23"/>
    <mergeCell ref="AG23:AL23"/>
    <mergeCell ref="AC24:AF24"/>
    <mergeCell ref="AG24:AL24"/>
    <mergeCell ref="AC22:AF22"/>
    <mergeCell ref="AG22:AL22"/>
    <mergeCell ref="AM12:AO12"/>
    <mergeCell ref="AC21:AF21"/>
    <mergeCell ref="AG21:AL21"/>
    <mergeCell ref="AG14:AI14"/>
    <mergeCell ref="AG15:AI15"/>
    <mergeCell ref="AG17:AI17"/>
    <mergeCell ref="AG16:AI16"/>
    <mergeCell ref="AN18:AO18"/>
    <mergeCell ref="D20:AB20"/>
    <mergeCell ref="AC20:AF20"/>
    <mergeCell ref="AG20:AL20"/>
    <mergeCell ref="M11:R11"/>
    <mergeCell ref="F13:H13"/>
    <mergeCell ref="N13:S13"/>
    <mergeCell ref="AG18:AH18"/>
    <mergeCell ref="M3:N3"/>
    <mergeCell ref="V3:X3"/>
    <mergeCell ref="AJ18:AK18"/>
    <mergeCell ref="AM10:AO10"/>
    <mergeCell ref="AG7:AI7"/>
    <mergeCell ref="AM7:AO7"/>
    <mergeCell ref="AG4:AJ4"/>
    <mergeCell ref="AG6:AI6"/>
    <mergeCell ref="AG8:AI8"/>
    <mergeCell ref="AG10:AI10"/>
    <mergeCell ref="E118:F118"/>
    <mergeCell ref="M118:N118"/>
    <mergeCell ref="V118:X118"/>
    <mergeCell ref="AG119:AJ119"/>
    <mergeCell ref="AG121:AI121"/>
    <mergeCell ref="AG122:AI122"/>
    <mergeCell ref="AM122:AO122"/>
    <mergeCell ref="AG123:AI123"/>
    <mergeCell ref="AG125:AI125"/>
    <mergeCell ref="AM125:AO125"/>
    <mergeCell ref="M126:R126"/>
    <mergeCell ref="AG127:AI127"/>
    <mergeCell ref="AM127:AO127"/>
    <mergeCell ref="CA127:CC127"/>
    <mergeCell ref="F128:H128"/>
    <mergeCell ref="N128:S128"/>
    <mergeCell ref="X128:Z128"/>
    <mergeCell ref="AG128:AI128"/>
    <mergeCell ref="CA128:CC128"/>
    <mergeCell ref="AG129:AI129"/>
    <mergeCell ref="CA129:CC129"/>
    <mergeCell ref="AG130:AI130"/>
    <mergeCell ref="CA130:CC130"/>
    <mergeCell ref="AG131:AI131"/>
    <mergeCell ref="CA131:CC131"/>
    <mergeCell ref="AG132:AI132"/>
    <mergeCell ref="AG133:AH133"/>
    <mergeCell ref="AJ133:AK133"/>
    <mergeCell ref="AN133:AO133"/>
    <mergeCell ref="AQ133:AR133"/>
    <mergeCell ref="D135:AB135"/>
    <mergeCell ref="AC135:AF135"/>
    <mergeCell ref="AG135:AL135"/>
    <mergeCell ref="AC136:AF136"/>
    <mergeCell ref="AG136:AL136"/>
    <mergeCell ref="AC137:AF137"/>
    <mergeCell ref="AG137:AL137"/>
    <mergeCell ref="AC138:AF138"/>
    <mergeCell ref="AG138:AL138"/>
    <mergeCell ref="AC139:AF139"/>
    <mergeCell ref="AG139:AL139"/>
    <mergeCell ref="AC140:AF140"/>
    <mergeCell ref="AG140:AL140"/>
    <mergeCell ref="AC141:AF141"/>
    <mergeCell ref="AG141:AL141"/>
    <mergeCell ref="AC142:AF142"/>
    <mergeCell ref="AG142:AL142"/>
    <mergeCell ref="C145:J145"/>
    <mergeCell ref="K145:M145"/>
    <mergeCell ref="N145:P145"/>
    <mergeCell ref="Q145:T145"/>
    <mergeCell ref="U145:X145"/>
    <mergeCell ref="Y145:AC145"/>
    <mergeCell ref="AD145:AI145"/>
    <mergeCell ref="AJ145:AO145"/>
    <mergeCell ref="K146:M146"/>
    <mergeCell ref="N146:P146"/>
    <mergeCell ref="Q146:T146"/>
    <mergeCell ref="U146:X146"/>
    <mergeCell ref="Y146:AC146"/>
    <mergeCell ref="AD146:AI146"/>
    <mergeCell ref="AJ146:AO146"/>
    <mergeCell ref="K147:M147"/>
    <mergeCell ref="N147:P147"/>
    <mergeCell ref="Q147:T147"/>
    <mergeCell ref="U147:X147"/>
    <mergeCell ref="Y147:AC147"/>
    <mergeCell ref="AD147:AI147"/>
    <mergeCell ref="AJ147:AO147"/>
    <mergeCell ref="K148:M148"/>
    <mergeCell ref="N148:P148"/>
    <mergeCell ref="Q148:T148"/>
    <mergeCell ref="U148:X148"/>
    <mergeCell ref="Y148:AC148"/>
    <mergeCell ref="AD148:AI148"/>
    <mergeCell ref="AJ148:AO148"/>
    <mergeCell ref="K149:M149"/>
    <mergeCell ref="N149:P149"/>
    <mergeCell ref="Q149:T149"/>
    <mergeCell ref="U149:X149"/>
    <mergeCell ref="Y149:AC149"/>
    <mergeCell ref="AD149:AI149"/>
    <mergeCell ref="AJ149:AO149"/>
    <mergeCell ref="K150:M150"/>
    <mergeCell ref="N150:P150"/>
    <mergeCell ref="Q150:T150"/>
    <mergeCell ref="U150:X150"/>
    <mergeCell ref="Y150:AC150"/>
    <mergeCell ref="AD150:AI150"/>
    <mergeCell ref="AJ150:AO150"/>
    <mergeCell ref="K151:M151"/>
    <mergeCell ref="N151:P151"/>
    <mergeCell ref="Q151:T151"/>
    <mergeCell ref="U151:X151"/>
    <mergeCell ref="Y151:AC151"/>
    <mergeCell ref="AD151:AI151"/>
    <mergeCell ref="AJ151:AO151"/>
    <mergeCell ref="C152:J152"/>
    <mergeCell ref="Q152:T152"/>
    <mergeCell ref="Y152:AC152"/>
    <mergeCell ref="AD152:AI152"/>
    <mergeCell ref="AJ152:AO152"/>
    <mergeCell ref="L167:P167"/>
    <mergeCell ref="R167:X167"/>
    <mergeCell ref="Z167:AE167"/>
    <mergeCell ref="L168:P168"/>
    <mergeCell ref="R168:V168"/>
    <mergeCell ref="X168:AC168"/>
    <mergeCell ref="L169:P169"/>
    <mergeCell ref="R169:V169"/>
    <mergeCell ref="X169:AB169"/>
    <mergeCell ref="AD169:AI169"/>
    <mergeCell ref="M170:P170"/>
    <mergeCell ref="U170:V170"/>
    <mergeCell ref="X170:AB170"/>
    <mergeCell ref="AD170:AI170"/>
    <mergeCell ref="P171:T171"/>
    <mergeCell ref="V171:Y171"/>
    <mergeCell ref="AA171:AE171"/>
    <mergeCell ref="AB172:AF172"/>
    <mergeCell ref="M173:Q173"/>
    <mergeCell ref="M174:Q174"/>
    <mergeCell ref="S175:W175"/>
    <mergeCell ref="N178:R178"/>
    <mergeCell ref="N179:R179"/>
    <mergeCell ref="S180:W180"/>
    <mergeCell ref="Z183:AC183"/>
    <mergeCell ref="AJ183:AL183"/>
    <mergeCell ref="AU183:AW183"/>
    <mergeCell ref="AX183:AZ183"/>
    <mergeCell ref="BA183:BC183"/>
    <mergeCell ref="BD183:BF183"/>
    <mergeCell ref="BG183:BI183"/>
    <mergeCell ref="BJ183:BL183"/>
    <mergeCell ref="BM183:BO183"/>
    <mergeCell ref="BP183:BR183"/>
    <mergeCell ref="BS183:BU183"/>
    <mergeCell ref="BV183:BX183"/>
    <mergeCell ref="BY183:CA183"/>
    <mergeCell ref="CB183:CD183"/>
    <mergeCell ref="CE183:CG183"/>
    <mergeCell ref="CH183:CJ183"/>
    <mergeCell ref="AU184:AW184"/>
    <mergeCell ref="AX184:AZ184"/>
    <mergeCell ref="BA184:BC184"/>
    <mergeCell ref="BD184:BF184"/>
    <mergeCell ref="BG184:BI184"/>
    <mergeCell ref="BJ184:BL184"/>
    <mergeCell ref="BM184:BO184"/>
    <mergeCell ref="BP184:BR184"/>
    <mergeCell ref="BS184:BU184"/>
    <mergeCell ref="BV184:BX184"/>
    <mergeCell ref="BY184:CA184"/>
    <mergeCell ref="CB184:CD184"/>
    <mergeCell ref="CE184:CG184"/>
    <mergeCell ref="CH184:CJ184"/>
    <mergeCell ref="AU185:AW185"/>
    <mergeCell ref="AX185:AZ185"/>
    <mergeCell ref="BA185:BC185"/>
    <mergeCell ref="BD185:BF185"/>
    <mergeCell ref="BG185:BI185"/>
    <mergeCell ref="BJ185:BL185"/>
    <mergeCell ref="BM185:BO185"/>
    <mergeCell ref="BP185:BR185"/>
    <mergeCell ref="BS185:BU185"/>
    <mergeCell ref="BV185:BX185"/>
    <mergeCell ref="BY185:CA185"/>
    <mergeCell ref="CB185:CD185"/>
    <mergeCell ref="CE185:CG185"/>
    <mergeCell ref="CH185:CJ185"/>
    <mergeCell ref="AU186:AW186"/>
    <mergeCell ref="AX186:AZ186"/>
    <mergeCell ref="BA186:BC186"/>
    <mergeCell ref="BD186:BF186"/>
    <mergeCell ref="BG186:BI186"/>
    <mergeCell ref="BJ186:BL186"/>
    <mergeCell ref="BM186:BO186"/>
    <mergeCell ref="BP186:BR186"/>
    <mergeCell ref="BS186:BU186"/>
    <mergeCell ref="BV186:BX186"/>
    <mergeCell ref="BY186:CA186"/>
    <mergeCell ref="CB186:CD186"/>
    <mergeCell ref="CE186:CG186"/>
    <mergeCell ref="CH186:CJ186"/>
    <mergeCell ref="E187:G187"/>
    <mergeCell ref="J187:K187"/>
    <mergeCell ref="M187:N187"/>
    <mergeCell ref="Q187:S187"/>
    <mergeCell ref="V187:W187"/>
    <mergeCell ref="Y187:Z187"/>
    <mergeCell ref="AC187:AD187"/>
    <mergeCell ref="AF187:AI187"/>
    <mergeCell ref="AU188:AW188"/>
    <mergeCell ref="AX188:AZ188"/>
    <mergeCell ref="BA188:BC188"/>
    <mergeCell ref="BD188:BF188"/>
    <mergeCell ref="BG188:BI188"/>
    <mergeCell ref="BJ188:BL188"/>
    <mergeCell ref="BM188:BO188"/>
    <mergeCell ref="BP188:BR188"/>
    <mergeCell ref="BS188:BU188"/>
    <mergeCell ref="BV188:BX188"/>
    <mergeCell ref="BY188:CA188"/>
    <mergeCell ref="CB188:CD188"/>
    <mergeCell ref="CE188:CG188"/>
    <mergeCell ref="CH188:CJ188"/>
    <mergeCell ref="AU189:AW189"/>
    <mergeCell ref="AX189:AZ189"/>
    <mergeCell ref="BA189:BC189"/>
    <mergeCell ref="BD189:BF189"/>
    <mergeCell ref="BG189:BI189"/>
    <mergeCell ref="BJ189:BL189"/>
    <mergeCell ref="BM189:BO189"/>
    <mergeCell ref="BP189:BR189"/>
    <mergeCell ref="BS189:BU189"/>
    <mergeCell ref="BV189:BX189"/>
    <mergeCell ref="BY189:CA189"/>
    <mergeCell ref="CB189:CD189"/>
    <mergeCell ref="CE189:CG189"/>
    <mergeCell ref="CH189:CJ189"/>
    <mergeCell ref="AU190:AW190"/>
    <mergeCell ref="AX190:AZ190"/>
    <mergeCell ref="BA190:BC190"/>
    <mergeCell ref="BD190:BF190"/>
    <mergeCell ref="BG190:BI190"/>
    <mergeCell ref="BJ190:BL190"/>
    <mergeCell ref="BM190:BO190"/>
    <mergeCell ref="BP190:BR190"/>
    <mergeCell ref="BS190:BU190"/>
    <mergeCell ref="BV190:BX190"/>
    <mergeCell ref="BY190:CA190"/>
    <mergeCell ref="CB190:CD190"/>
    <mergeCell ref="CE190:CG190"/>
    <mergeCell ref="CH190:CJ190"/>
    <mergeCell ref="AU191:AW191"/>
    <mergeCell ref="AX191:AZ191"/>
    <mergeCell ref="BA191:BC191"/>
    <mergeCell ref="BD191:BF191"/>
    <mergeCell ref="BG191:BI191"/>
    <mergeCell ref="BJ191:BL191"/>
    <mergeCell ref="BM191:BO191"/>
    <mergeCell ref="BP191:BR191"/>
    <mergeCell ref="BS191:BU191"/>
    <mergeCell ref="BV191:BX191"/>
    <mergeCell ref="BY191:CA191"/>
    <mergeCell ref="CB191:CD191"/>
    <mergeCell ref="CE191:CG191"/>
    <mergeCell ref="CH191:CJ191"/>
    <mergeCell ref="AU193:AW193"/>
    <mergeCell ref="AX193:AZ193"/>
    <mergeCell ref="BA193:BC193"/>
    <mergeCell ref="BD193:BF193"/>
    <mergeCell ref="BG193:BI193"/>
    <mergeCell ref="BJ193:BL193"/>
    <mergeCell ref="BM193:BO193"/>
    <mergeCell ref="BP193:BR193"/>
    <mergeCell ref="BS193:BU193"/>
    <mergeCell ref="BV193:BX193"/>
    <mergeCell ref="BY193:CA193"/>
    <mergeCell ref="CB193:CD193"/>
    <mergeCell ref="CE193:CG193"/>
    <mergeCell ref="CH193:CJ193"/>
    <mergeCell ref="S194:V194"/>
    <mergeCell ref="AU194:AW194"/>
    <mergeCell ref="AX194:AZ194"/>
    <mergeCell ref="BA194:BC194"/>
    <mergeCell ref="BD194:BF194"/>
    <mergeCell ref="BG194:BI194"/>
    <mergeCell ref="BJ194:BL194"/>
    <mergeCell ref="BM194:BO194"/>
    <mergeCell ref="BP194:BR194"/>
    <mergeCell ref="BS194:BU194"/>
    <mergeCell ref="BV194:BX194"/>
    <mergeCell ref="BY194:CA194"/>
    <mergeCell ref="CB194:CD194"/>
    <mergeCell ref="CE194:CG194"/>
    <mergeCell ref="CH194:CJ194"/>
    <mergeCell ref="H195:K195"/>
    <mergeCell ref="AU195:AW195"/>
    <mergeCell ref="AX195:AZ195"/>
    <mergeCell ref="BA195:BC195"/>
    <mergeCell ref="BD195:BF195"/>
    <mergeCell ref="BG195:BI195"/>
    <mergeCell ref="BJ195:BL195"/>
    <mergeCell ref="BM195:BO195"/>
    <mergeCell ref="BP195:BR195"/>
    <mergeCell ref="BS195:BU195"/>
    <mergeCell ref="BV195:BX195"/>
    <mergeCell ref="BY195:CA195"/>
    <mergeCell ref="CB195:CD195"/>
    <mergeCell ref="CE195:CG195"/>
    <mergeCell ref="CH195:CJ195"/>
    <mergeCell ref="S196:V196"/>
    <mergeCell ref="AU196:AW196"/>
    <mergeCell ref="AX196:AZ196"/>
    <mergeCell ref="BA196:BC196"/>
    <mergeCell ref="BD196:BF196"/>
    <mergeCell ref="BG196:BI196"/>
    <mergeCell ref="BJ196:BL196"/>
    <mergeCell ref="BM196:BO196"/>
    <mergeCell ref="BP196:BR196"/>
    <mergeCell ref="BS196:BU196"/>
    <mergeCell ref="BV196:BX196"/>
    <mergeCell ref="BY196:CA196"/>
    <mergeCell ref="CB196:CD196"/>
    <mergeCell ref="CE196:CG196"/>
    <mergeCell ref="CH196:CJ196"/>
    <mergeCell ref="E197:I198"/>
    <mergeCell ref="K197:L197"/>
    <mergeCell ref="P197:P198"/>
    <mergeCell ref="T197:V197"/>
    <mergeCell ref="AA197:AB198"/>
    <mergeCell ref="AC197:AE198"/>
    <mergeCell ref="AF197:AG198"/>
    <mergeCell ref="J198:K198"/>
    <mergeCell ref="R198:S198"/>
    <mergeCell ref="U198:W198"/>
    <mergeCell ref="Y198:Z198"/>
    <mergeCell ref="AU198:AW198"/>
    <mergeCell ref="AX198:AZ198"/>
    <mergeCell ref="BA198:BC198"/>
    <mergeCell ref="BD198:BF198"/>
    <mergeCell ref="BG198:BI198"/>
    <mergeCell ref="BJ198:BL198"/>
    <mergeCell ref="BM198:BO198"/>
    <mergeCell ref="BP198:BR198"/>
    <mergeCell ref="BS198:BU198"/>
    <mergeCell ref="BV198:BX198"/>
    <mergeCell ref="BY198:CA198"/>
    <mergeCell ref="CB198:CD198"/>
    <mergeCell ref="CE198:CG198"/>
    <mergeCell ref="CH198:CJ198"/>
    <mergeCell ref="O199:R199"/>
    <mergeCell ref="AU199:AW199"/>
    <mergeCell ref="AX199:AZ199"/>
    <mergeCell ref="BA199:BC199"/>
    <mergeCell ref="BD199:BF199"/>
    <mergeCell ref="BG199:BI199"/>
    <mergeCell ref="BJ199:BL199"/>
    <mergeCell ref="BM199:BO199"/>
    <mergeCell ref="BP199:BR199"/>
    <mergeCell ref="BS199:BU199"/>
    <mergeCell ref="BV199:BX199"/>
    <mergeCell ref="BY199:CA199"/>
    <mergeCell ref="CB199:CD199"/>
    <mergeCell ref="CE199:CG199"/>
    <mergeCell ref="CH199:CJ199"/>
    <mergeCell ref="F200:G200"/>
    <mergeCell ref="J200:J201"/>
    <mergeCell ref="K200:O201"/>
    <mergeCell ref="Q200:R200"/>
    <mergeCell ref="U200:U201"/>
    <mergeCell ref="X200:Z200"/>
    <mergeCell ref="AE200:AE201"/>
    <mergeCell ref="BA200:BC200"/>
    <mergeCell ref="BD200:BF200"/>
    <mergeCell ref="BG200:BI200"/>
    <mergeCell ref="BJ200:BL200"/>
    <mergeCell ref="BM200:BO200"/>
    <mergeCell ref="BP200:BR200"/>
    <mergeCell ref="BS200:BU200"/>
    <mergeCell ref="BV200:BX200"/>
    <mergeCell ref="BY200:CA200"/>
    <mergeCell ref="CB200:CD200"/>
    <mergeCell ref="CE200:CG200"/>
    <mergeCell ref="CH200:CJ200"/>
    <mergeCell ref="E201:F201"/>
    <mergeCell ref="P201:Q201"/>
    <mergeCell ref="V201:W201"/>
    <mergeCell ref="Y201:AA201"/>
    <mergeCell ref="AC201:AD201"/>
    <mergeCell ref="AU201:AW201"/>
    <mergeCell ref="AX201:AZ201"/>
    <mergeCell ref="BA201:BC201"/>
    <mergeCell ref="AF200:AH201"/>
    <mergeCell ref="AI200:AJ201"/>
    <mergeCell ref="AU200:AW200"/>
    <mergeCell ref="AX200:AZ200"/>
    <mergeCell ref="BD201:BF201"/>
    <mergeCell ref="BG201:BI201"/>
    <mergeCell ref="BJ201:BL201"/>
    <mergeCell ref="BM201:BO201"/>
    <mergeCell ref="CB201:CD201"/>
    <mergeCell ref="CE201:CG201"/>
    <mergeCell ref="CH201:CJ201"/>
    <mergeCell ref="O202:Q202"/>
    <mergeCell ref="S202:T202"/>
    <mergeCell ref="AF202:AI202"/>
    <mergeCell ref="BP201:BR201"/>
    <mergeCell ref="BS201:BU201"/>
    <mergeCell ref="BV201:BX201"/>
    <mergeCell ref="BY201:CA201"/>
    <mergeCell ref="F203:G203"/>
    <mergeCell ref="J203:J204"/>
    <mergeCell ref="K203:O204"/>
    <mergeCell ref="Q203:R203"/>
    <mergeCell ref="AI203:AJ204"/>
    <mergeCell ref="E204:F204"/>
    <mergeCell ref="P204:Q204"/>
    <mergeCell ref="V204:W204"/>
    <mergeCell ref="Y204:AA204"/>
    <mergeCell ref="AC204:AD204"/>
    <mergeCell ref="U203:U204"/>
    <mergeCell ref="X203:Z203"/>
    <mergeCell ref="AE203:AE204"/>
    <mergeCell ref="AF203:AH204"/>
    <mergeCell ref="N205:Q205"/>
    <mergeCell ref="AA205:AD205"/>
    <mergeCell ref="J206:L206"/>
    <mergeCell ref="L207:O207"/>
    <mergeCell ref="C210:G212"/>
    <mergeCell ref="H210:AA210"/>
    <mergeCell ref="AB210:AI211"/>
    <mergeCell ref="AJ210:AQ210"/>
    <mergeCell ref="H211:Q211"/>
    <mergeCell ref="R211:AA211"/>
    <mergeCell ref="AJ211:AQ211"/>
    <mergeCell ref="H212:L212"/>
    <mergeCell ref="M212:Q212"/>
    <mergeCell ref="R212:V212"/>
    <mergeCell ref="W212:AA212"/>
    <mergeCell ref="AB212:AE212"/>
    <mergeCell ref="AF212:AI212"/>
    <mergeCell ref="AJ212:AM212"/>
    <mergeCell ref="AN212:AQ212"/>
    <mergeCell ref="C213:G213"/>
    <mergeCell ref="H213:L213"/>
    <mergeCell ref="M213:Q213"/>
    <mergeCell ref="R213:V213"/>
    <mergeCell ref="W213:AA213"/>
    <mergeCell ref="AB213:AE213"/>
    <mergeCell ref="AF213:AI213"/>
    <mergeCell ref="AJ213:AM213"/>
    <mergeCell ref="AN213:AQ213"/>
    <mergeCell ref="C214:G214"/>
    <mergeCell ref="H214:L214"/>
    <mergeCell ref="M214:Q214"/>
    <mergeCell ref="R214:V214"/>
    <mergeCell ref="W214:AA214"/>
    <mergeCell ref="AB214:AE214"/>
    <mergeCell ref="AF214:AI214"/>
    <mergeCell ref="AJ214:AM214"/>
    <mergeCell ref="AG219:AH220"/>
    <mergeCell ref="AN214:AQ214"/>
    <mergeCell ref="F219:F220"/>
    <mergeCell ref="G219:H219"/>
    <mergeCell ref="I219:L220"/>
    <mergeCell ref="M219:N219"/>
    <mergeCell ref="O219:P220"/>
    <mergeCell ref="Q219:Q220"/>
    <mergeCell ref="R219:R220"/>
    <mergeCell ref="S219:W219"/>
    <mergeCell ref="G220:H220"/>
    <mergeCell ref="M220:N220"/>
    <mergeCell ref="S220:W220"/>
    <mergeCell ref="AB220:AF220"/>
    <mergeCell ref="Z219:Z220"/>
    <mergeCell ref="AA219:AA220"/>
    <mergeCell ref="AB219:AF219"/>
    <mergeCell ref="X219:Y220"/>
    <mergeCell ref="R221:U221"/>
    <mergeCell ref="W221:Z221"/>
    <mergeCell ref="AB221:AE221"/>
    <mergeCell ref="AI221:AK221"/>
    <mergeCell ref="Q224:Q225"/>
    <mergeCell ref="R224:R225"/>
    <mergeCell ref="S224:W224"/>
    <mergeCell ref="F224:F225"/>
    <mergeCell ref="G224:H224"/>
    <mergeCell ref="I224:L225"/>
    <mergeCell ref="M224:N224"/>
    <mergeCell ref="AG224:AH225"/>
    <mergeCell ref="G225:H225"/>
    <mergeCell ref="M225:N225"/>
    <mergeCell ref="S225:W225"/>
    <mergeCell ref="AB225:AF225"/>
    <mergeCell ref="X224:Y225"/>
    <mergeCell ref="Z224:Z225"/>
    <mergeCell ref="AA224:AA225"/>
    <mergeCell ref="AB224:AF224"/>
    <mergeCell ref="O224:P225"/>
    <mergeCell ref="R226:U226"/>
    <mergeCell ref="W226:Z226"/>
    <mergeCell ref="AB226:AE226"/>
    <mergeCell ref="AI226:AK226"/>
    <mergeCell ref="E235:F235"/>
    <mergeCell ref="M235:N235"/>
    <mergeCell ref="V235:X235"/>
    <mergeCell ref="AG236:AJ236"/>
    <mergeCell ref="AG238:AI238"/>
    <mergeCell ref="AG239:AI239"/>
    <mergeCell ref="AM239:AO239"/>
    <mergeCell ref="AG240:AI240"/>
    <mergeCell ref="AG242:AI242"/>
    <mergeCell ref="AM242:AO242"/>
    <mergeCell ref="M243:R243"/>
    <mergeCell ref="AG244:AI244"/>
    <mergeCell ref="AM244:AO244"/>
    <mergeCell ref="CA244:CC244"/>
    <mergeCell ref="F245:H245"/>
    <mergeCell ref="N245:S245"/>
    <mergeCell ref="X245:Z245"/>
    <mergeCell ref="AG245:AI245"/>
    <mergeCell ref="CA245:CC245"/>
    <mergeCell ref="AG246:AI246"/>
    <mergeCell ref="CA246:CC246"/>
    <mergeCell ref="AG247:AI247"/>
    <mergeCell ref="CA247:CC247"/>
    <mergeCell ref="AG248:AI248"/>
    <mergeCell ref="CA248:CC248"/>
    <mergeCell ref="AG249:AI249"/>
    <mergeCell ref="AG250:AH250"/>
    <mergeCell ref="AJ250:AK250"/>
    <mergeCell ref="AN250:AO250"/>
    <mergeCell ref="AQ250:AR250"/>
    <mergeCell ref="D252:AB252"/>
    <mergeCell ref="AC252:AF252"/>
    <mergeCell ref="AG252:AL252"/>
    <mergeCell ref="AC253:AF253"/>
    <mergeCell ref="AG253:AL253"/>
    <mergeCell ref="AC254:AF254"/>
    <mergeCell ref="AG254:AL254"/>
    <mergeCell ref="AC255:AF255"/>
    <mergeCell ref="AG255:AL255"/>
    <mergeCell ref="AC256:AF256"/>
    <mergeCell ref="AG256:AL256"/>
    <mergeCell ref="AC257:AF257"/>
    <mergeCell ref="AG257:AL257"/>
    <mergeCell ref="AC258:AF258"/>
    <mergeCell ref="AG258:AL258"/>
    <mergeCell ref="AC259:AF259"/>
    <mergeCell ref="AG259:AL259"/>
    <mergeCell ref="C262:J262"/>
    <mergeCell ref="K262:M262"/>
    <mergeCell ref="N262:P262"/>
    <mergeCell ref="Q262:T262"/>
    <mergeCell ref="U262:X262"/>
    <mergeCell ref="Y262:AC262"/>
    <mergeCell ref="AD262:AI262"/>
    <mergeCell ref="AJ262:AO262"/>
    <mergeCell ref="K263:M263"/>
    <mergeCell ref="N263:P263"/>
    <mergeCell ref="Q263:T263"/>
    <mergeCell ref="U263:X263"/>
    <mergeCell ref="Y263:AC263"/>
    <mergeCell ref="AD263:AI263"/>
    <mergeCell ref="AJ263:AO263"/>
    <mergeCell ref="K264:M264"/>
    <mergeCell ref="N264:P264"/>
    <mergeCell ref="Q264:T264"/>
    <mergeCell ref="U264:X264"/>
    <mergeCell ref="Y264:AC264"/>
    <mergeCell ref="AD264:AI264"/>
    <mergeCell ref="AJ264:AO264"/>
    <mergeCell ref="K265:M265"/>
    <mergeCell ref="N265:P265"/>
    <mergeCell ref="Q265:T265"/>
    <mergeCell ref="U265:X265"/>
    <mergeCell ref="Y265:AC265"/>
    <mergeCell ref="AD265:AI265"/>
    <mergeCell ref="AJ265:AO265"/>
    <mergeCell ref="K266:M266"/>
    <mergeCell ref="N266:P266"/>
    <mergeCell ref="Q266:T266"/>
    <mergeCell ref="U266:X266"/>
    <mergeCell ref="Y266:AC266"/>
    <mergeCell ref="AD266:AI266"/>
    <mergeCell ref="AJ266:AO266"/>
    <mergeCell ref="K267:M267"/>
    <mergeCell ref="N267:P267"/>
    <mergeCell ref="Q267:T267"/>
    <mergeCell ref="U267:X267"/>
    <mergeCell ref="Y267:AC267"/>
    <mergeCell ref="AD267:AI267"/>
    <mergeCell ref="AJ267:AO267"/>
    <mergeCell ref="K268:M268"/>
    <mergeCell ref="N268:P268"/>
    <mergeCell ref="Q268:T268"/>
    <mergeCell ref="U268:X268"/>
    <mergeCell ref="Y268:AC268"/>
    <mergeCell ref="AD268:AI268"/>
    <mergeCell ref="AJ268:AO268"/>
    <mergeCell ref="C269:J269"/>
    <mergeCell ref="Q269:T269"/>
    <mergeCell ref="Y269:AC269"/>
    <mergeCell ref="AD269:AI269"/>
    <mergeCell ref="AJ269:AO269"/>
    <mergeCell ref="L284:P284"/>
    <mergeCell ref="R284:X284"/>
    <mergeCell ref="Z284:AE284"/>
    <mergeCell ref="L285:P285"/>
    <mergeCell ref="R285:V285"/>
    <mergeCell ref="X285:AC285"/>
    <mergeCell ref="L286:P286"/>
    <mergeCell ref="R286:V286"/>
    <mergeCell ref="X286:AB286"/>
    <mergeCell ref="AD286:AI286"/>
    <mergeCell ref="M287:P287"/>
    <mergeCell ref="U287:V287"/>
    <mergeCell ref="X287:AB287"/>
    <mergeCell ref="AD287:AI287"/>
    <mergeCell ref="P288:T288"/>
    <mergeCell ref="V288:Y288"/>
    <mergeCell ref="AA288:AE288"/>
    <mergeCell ref="AB289:AF289"/>
    <mergeCell ref="M290:Q290"/>
    <mergeCell ref="M291:Q291"/>
    <mergeCell ref="S292:W292"/>
    <mergeCell ref="N295:R295"/>
    <mergeCell ref="N296:R296"/>
    <mergeCell ref="S297:W297"/>
    <mergeCell ref="Z300:AC300"/>
    <mergeCell ref="AJ300:AL300"/>
    <mergeCell ref="AU300:AW300"/>
    <mergeCell ref="AX300:AZ300"/>
    <mergeCell ref="BA300:BC300"/>
    <mergeCell ref="BD300:BF300"/>
    <mergeCell ref="BG300:BI300"/>
    <mergeCell ref="BJ300:BL300"/>
    <mergeCell ref="BM300:BO300"/>
    <mergeCell ref="BP300:BR300"/>
    <mergeCell ref="BS300:BU300"/>
    <mergeCell ref="BV300:BX300"/>
    <mergeCell ref="BY300:CA300"/>
    <mergeCell ref="CB300:CD300"/>
    <mergeCell ref="CE300:CG300"/>
    <mergeCell ref="CH300:CJ300"/>
    <mergeCell ref="AU301:AW301"/>
    <mergeCell ref="AX301:AZ301"/>
    <mergeCell ref="BA301:BC301"/>
    <mergeCell ref="BD301:BF301"/>
    <mergeCell ref="BG301:BI301"/>
    <mergeCell ref="BJ301:BL301"/>
    <mergeCell ref="BM301:BO301"/>
    <mergeCell ref="BP301:BR301"/>
    <mergeCell ref="BS301:BU301"/>
    <mergeCell ref="BV301:BX301"/>
    <mergeCell ref="BY301:CA301"/>
    <mergeCell ref="CB301:CD301"/>
    <mergeCell ref="CE301:CG301"/>
    <mergeCell ref="CH301:CJ301"/>
    <mergeCell ref="AU302:AW302"/>
    <mergeCell ref="AX302:AZ302"/>
    <mergeCell ref="BA302:BC302"/>
    <mergeCell ref="BD302:BF302"/>
    <mergeCell ref="BG302:BI302"/>
    <mergeCell ref="BJ302:BL302"/>
    <mergeCell ref="BM302:BO302"/>
    <mergeCell ref="BP302:BR302"/>
    <mergeCell ref="BS302:BU302"/>
    <mergeCell ref="BV302:BX302"/>
    <mergeCell ref="BY302:CA302"/>
    <mergeCell ref="CB302:CD302"/>
    <mergeCell ref="CE302:CG302"/>
    <mergeCell ref="CH302:CJ302"/>
    <mergeCell ref="AU303:AW303"/>
    <mergeCell ref="AX303:AZ303"/>
    <mergeCell ref="BA303:BC303"/>
    <mergeCell ref="BD303:BF303"/>
    <mergeCell ref="BG303:BI303"/>
    <mergeCell ref="BJ303:BL303"/>
    <mergeCell ref="BM303:BO303"/>
    <mergeCell ref="BP303:BR303"/>
    <mergeCell ref="BS303:BU303"/>
    <mergeCell ref="BV303:BX303"/>
    <mergeCell ref="BY303:CA303"/>
    <mergeCell ref="CB303:CD303"/>
    <mergeCell ref="CE303:CG303"/>
    <mergeCell ref="CH303:CJ303"/>
    <mergeCell ref="E304:G304"/>
    <mergeCell ref="J304:K304"/>
    <mergeCell ref="M304:N304"/>
    <mergeCell ref="Q304:S304"/>
    <mergeCell ref="V304:W304"/>
    <mergeCell ref="Y304:Z304"/>
    <mergeCell ref="AC304:AD304"/>
    <mergeCell ref="AF304:AI304"/>
    <mergeCell ref="AU305:AW305"/>
    <mergeCell ref="AX305:AZ305"/>
    <mergeCell ref="BA305:BC305"/>
    <mergeCell ref="BD305:BF305"/>
    <mergeCell ref="BG305:BI305"/>
    <mergeCell ref="BJ305:BL305"/>
    <mergeCell ref="BM305:BO305"/>
    <mergeCell ref="BP305:BR305"/>
    <mergeCell ref="BS305:BU305"/>
    <mergeCell ref="BV305:BX305"/>
    <mergeCell ref="BY305:CA305"/>
    <mergeCell ref="CB305:CD305"/>
    <mergeCell ref="CE305:CG305"/>
    <mergeCell ref="CH305:CJ305"/>
    <mergeCell ref="AU306:AW306"/>
    <mergeCell ref="AX306:AZ306"/>
    <mergeCell ref="BA306:BC306"/>
    <mergeCell ref="BD306:BF306"/>
    <mergeCell ref="BG306:BI306"/>
    <mergeCell ref="BJ306:BL306"/>
    <mergeCell ref="BM306:BO306"/>
    <mergeCell ref="BP306:BR306"/>
    <mergeCell ref="BS306:BU306"/>
    <mergeCell ref="BV306:BX306"/>
    <mergeCell ref="BY306:CA306"/>
    <mergeCell ref="CB306:CD306"/>
    <mergeCell ref="CE306:CG306"/>
    <mergeCell ref="CH306:CJ306"/>
    <mergeCell ref="AU307:AW307"/>
    <mergeCell ref="AX307:AZ307"/>
    <mergeCell ref="BA307:BC307"/>
    <mergeCell ref="BD307:BF307"/>
    <mergeCell ref="BG307:BI307"/>
    <mergeCell ref="BJ307:BL307"/>
    <mergeCell ref="BM307:BO307"/>
    <mergeCell ref="BP307:BR307"/>
    <mergeCell ref="BS307:BU307"/>
    <mergeCell ref="BV307:BX307"/>
    <mergeCell ref="BY307:CA307"/>
    <mergeCell ref="CB307:CD307"/>
    <mergeCell ref="CE307:CG307"/>
    <mergeCell ref="CH307:CJ307"/>
    <mergeCell ref="AU308:AW308"/>
    <mergeCell ref="AX308:AZ308"/>
    <mergeCell ref="BA308:BC308"/>
    <mergeCell ref="BD308:BF308"/>
    <mergeCell ref="BG308:BI308"/>
    <mergeCell ref="BJ308:BL308"/>
    <mergeCell ref="BM308:BO308"/>
    <mergeCell ref="BP308:BR308"/>
    <mergeCell ref="BS308:BU308"/>
    <mergeCell ref="BV308:BX308"/>
    <mergeCell ref="BY308:CA308"/>
    <mergeCell ref="CB308:CD308"/>
    <mergeCell ref="CE308:CG308"/>
    <mergeCell ref="CH308:CJ308"/>
    <mergeCell ref="AU310:AW310"/>
    <mergeCell ref="AX310:AZ310"/>
    <mergeCell ref="BA310:BC310"/>
    <mergeCell ref="BD310:BF310"/>
    <mergeCell ref="BG310:BI310"/>
    <mergeCell ref="BJ310:BL310"/>
    <mergeCell ref="BM310:BO310"/>
    <mergeCell ref="BP310:BR310"/>
    <mergeCell ref="BS310:BU310"/>
    <mergeCell ref="BV310:BX310"/>
    <mergeCell ref="BY310:CA310"/>
    <mergeCell ref="CB310:CD310"/>
    <mergeCell ref="CE310:CG310"/>
    <mergeCell ref="CH310:CJ310"/>
    <mergeCell ref="S311:V311"/>
    <mergeCell ref="AU311:AW311"/>
    <mergeCell ref="AX311:AZ311"/>
    <mergeCell ref="BA311:BC311"/>
    <mergeCell ref="BD311:BF311"/>
    <mergeCell ref="BG311:BI311"/>
    <mergeCell ref="BJ311:BL311"/>
    <mergeCell ref="BM311:BO311"/>
    <mergeCell ref="BP311:BR311"/>
    <mergeCell ref="BS311:BU311"/>
    <mergeCell ref="BV311:BX311"/>
    <mergeCell ref="BY311:CA311"/>
    <mergeCell ref="CB311:CD311"/>
    <mergeCell ref="CE311:CG311"/>
    <mergeCell ref="CH311:CJ311"/>
    <mergeCell ref="H312:K312"/>
    <mergeCell ref="AU312:AW312"/>
    <mergeCell ref="AX312:AZ312"/>
    <mergeCell ref="BA312:BC312"/>
    <mergeCell ref="BD312:BF312"/>
    <mergeCell ref="BG312:BI312"/>
    <mergeCell ref="BJ312:BL312"/>
    <mergeCell ref="BM312:BO312"/>
    <mergeCell ref="BP312:BR312"/>
    <mergeCell ref="BS312:BU312"/>
    <mergeCell ref="BV312:BX312"/>
    <mergeCell ref="BY312:CA312"/>
    <mergeCell ref="CB312:CD312"/>
    <mergeCell ref="CE312:CG312"/>
    <mergeCell ref="CH312:CJ312"/>
    <mergeCell ref="S313:V313"/>
    <mergeCell ref="AU313:AW313"/>
    <mergeCell ref="AX313:AZ313"/>
    <mergeCell ref="BA313:BC313"/>
    <mergeCell ref="BD313:BF313"/>
    <mergeCell ref="BG313:BI313"/>
    <mergeCell ref="BJ313:BL313"/>
    <mergeCell ref="BM313:BO313"/>
    <mergeCell ref="BP313:BR313"/>
    <mergeCell ref="BS313:BU313"/>
    <mergeCell ref="BV313:BX313"/>
    <mergeCell ref="BY313:CA313"/>
    <mergeCell ref="CB313:CD313"/>
    <mergeCell ref="CE313:CG313"/>
    <mergeCell ref="CH313:CJ313"/>
    <mergeCell ref="E314:I315"/>
    <mergeCell ref="K314:L314"/>
    <mergeCell ref="P314:P315"/>
    <mergeCell ref="T314:V314"/>
    <mergeCell ref="AA314:AB315"/>
    <mergeCell ref="AC314:AE315"/>
    <mergeCell ref="AF314:AG315"/>
    <mergeCell ref="J315:K315"/>
    <mergeCell ref="R315:S315"/>
    <mergeCell ref="U315:W315"/>
    <mergeCell ref="Y315:Z315"/>
    <mergeCell ref="AU315:AW315"/>
    <mergeCell ref="AX315:AZ315"/>
    <mergeCell ref="BA315:BC315"/>
    <mergeCell ref="BD315:BF315"/>
    <mergeCell ref="BG315:BI315"/>
    <mergeCell ref="BJ315:BL315"/>
    <mergeCell ref="BM315:BO315"/>
    <mergeCell ref="BP315:BR315"/>
    <mergeCell ref="BS315:BU315"/>
    <mergeCell ref="BV315:BX315"/>
    <mergeCell ref="BY315:CA315"/>
    <mergeCell ref="CB315:CD315"/>
    <mergeCell ref="CE315:CG315"/>
    <mergeCell ref="CH315:CJ315"/>
    <mergeCell ref="O316:R316"/>
    <mergeCell ref="AU316:AW316"/>
    <mergeCell ref="AX316:AZ316"/>
    <mergeCell ref="BA316:BC316"/>
    <mergeCell ref="BD316:BF316"/>
    <mergeCell ref="BG316:BI316"/>
    <mergeCell ref="BJ316:BL316"/>
    <mergeCell ref="BM316:BO316"/>
    <mergeCell ref="BP316:BR316"/>
    <mergeCell ref="BS316:BU316"/>
    <mergeCell ref="BV316:BX316"/>
    <mergeCell ref="BY316:CA316"/>
    <mergeCell ref="CB316:CD316"/>
    <mergeCell ref="CE316:CG316"/>
    <mergeCell ref="CH316:CJ316"/>
    <mergeCell ref="F317:G317"/>
    <mergeCell ref="J317:J318"/>
    <mergeCell ref="K317:O318"/>
    <mergeCell ref="Q317:R317"/>
    <mergeCell ref="U317:U318"/>
    <mergeCell ref="X317:Z317"/>
    <mergeCell ref="AE317:AE318"/>
    <mergeCell ref="BA317:BC317"/>
    <mergeCell ref="BD317:BF317"/>
    <mergeCell ref="BG317:BI317"/>
    <mergeCell ref="BJ317:BL317"/>
    <mergeCell ref="BM317:BO317"/>
    <mergeCell ref="BP317:BR317"/>
    <mergeCell ref="BS317:BU317"/>
    <mergeCell ref="BV317:BX317"/>
    <mergeCell ref="BY317:CA317"/>
    <mergeCell ref="CB317:CD317"/>
    <mergeCell ref="CE317:CG317"/>
    <mergeCell ref="CH317:CJ317"/>
    <mergeCell ref="E318:F318"/>
    <mergeCell ref="P318:Q318"/>
    <mergeCell ref="V318:W318"/>
    <mergeCell ref="Y318:AA318"/>
    <mergeCell ref="AC318:AD318"/>
    <mergeCell ref="AU318:AW318"/>
    <mergeCell ref="AX318:AZ318"/>
    <mergeCell ref="BA318:BC318"/>
    <mergeCell ref="AF317:AH318"/>
    <mergeCell ref="AI317:AJ318"/>
    <mergeCell ref="AU317:AW317"/>
    <mergeCell ref="AX317:AZ317"/>
    <mergeCell ref="BD318:BF318"/>
    <mergeCell ref="BG318:BI318"/>
    <mergeCell ref="BJ318:BL318"/>
    <mergeCell ref="BM318:BO318"/>
    <mergeCell ref="CB318:CD318"/>
    <mergeCell ref="CE318:CG318"/>
    <mergeCell ref="CH318:CJ318"/>
    <mergeCell ref="O319:Q319"/>
    <mergeCell ref="S319:T319"/>
    <mergeCell ref="AF319:AI319"/>
    <mergeCell ref="BP318:BR318"/>
    <mergeCell ref="BS318:BU318"/>
    <mergeCell ref="BV318:BX318"/>
    <mergeCell ref="BY318:CA318"/>
    <mergeCell ref="F320:G320"/>
    <mergeCell ref="J320:J321"/>
    <mergeCell ref="K320:O321"/>
    <mergeCell ref="Q320:R320"/>
    <mergeCell ref="AI320:AJ321"/>
    <mergeCell ref="E321:F321"/>
    <mergeCell ref="P321:Q321"/>
    <mergeCell ref="V321:W321"/>
    <mergeCell ref="Y321:AA321"/>
    <mergeCell ref="AC321:AD321"/>
    <mergeCell ref="U320:U321"/>
    <mergeCell ref="X320:Z320"/>
    <mergeCell ref="AE320:AE321"/>
    <mergeCell ref="AF320:AH321"/>
    <mergeCell ref="N322:Q322"/>
    <mergeCell ref="AA322:AD322"/>
    <mergeCell ref="J323:L323"/>
    <mergeCell ref="L324:O324"/>
    <mergeCell ref="C327:G329"/>
    <mergeCell ref="H327:AA327"/>
    <mergeCell ref="AB327:AI328"/>
    <mergeCell ref="AJ327:AQ327"/>
    <mergeCell ref="H328:Q328"/>
    <mergeCell ref="R328:AA328"/>
    <mergeCell ref="AJ328:AQ328"/>
    <mergeCell ref="H329:L329"/>
    <mergeCell ref="M329:Q329"/>
    <mergeCell ref="R329:V329"/>
    <mergeCell ref="W329:AA329"/>
    <mergeCell ref="AB329:AE329"/>
    <mergeCell ref="AF329:AI329"/>
    <mergeCell ref="AJ329:AM329"/>
    <mergeCell ref="AN329:AQ329"/>
    <mergeCell ref="C330:G330"/>
    <mergeCell ref="H330:L330"/>
    <mergeCell ref="M330:Q330"/>
    <mergeCell ref="R330:V330"/>
    <mergeCell ref="W330:AA330"/>
    <mergeCell ref="AB330:AE330"/>
    <mergeCell ref="AF330:AI330"/>
    <mergeCell ref="AJ330:AM330"/>
    <mergeCell ref="AN330:AQ330"/>
    <mergeCell ref="C331:G331"/>
    <mergeCell ref="H331:L331"/>
    <mergeCell ref="M331:Q331"/>
    <mergeCell ref="R331:V331"/>
    <mergeCell ref="W331:AA331"/>
    <mergeCell ref="AB331:AE331"/>
    <mergeCell ref="AF331:AI331"/>
    <mergeCell ref="AJ331:AM331"/>
    <mergeCell ref="AG336:AH337"/>
    <mergeCell ref="AN331:AQ331"/>
    <mergeCell ref="F336:F337"/>
    <mergeCell ref="G336:H336"/>
    <mergeCell ref="I336:L337"/>
    <mergeCell ref="M336:N336"/>
    <mergeCell ref="O336:P337"/>
    <mergeCell ref="Q336:Q337"/>
    <mergeCell ref="R336:R337"/>
    <mergeCell ref="S336:W336"/>
    <mergeCell ref="G337:H337"/>
    <mergeCell ref="M337:N337"/>
    <mergeCell ref="S337:W337"/>
    <mergeCell ref="AB337:AF337"/>
    <mergeCell ref="Z336:Z337"/>
    <mergeCell ref="AA336:AA337"/>
    <mergeCell ref="AB336:AF336"/>
    <mergeCell ref="X336:Y337"/>
    <mergeCell ref="R338:U338"/>
    <mergeCell ref="W338:Z338"/>
    <mergeCell ref="AB338:AE338"/>
    <mergeCell ref="AI338:AK338"/>
    <mergeCell ref="Q341:Q342"/>
    <mergeCell ref="R341:R342"/>
    <mergeCell ref="S341:W341"/>
    <mergeCell ref="F341:F342"/>
    <mergeCell ref="G341:H341"/>
    <mergeCell ref="I341:L342"/>
    <mergeCell ref="M341:N341"/>
    <mergeCell ref="AG341:AH342"/>
    <mergeCell ref="G342:H342"/>
    <mergeCell ref="M342:N342"/>
    <mergeCell ref="S342:W342"/>
    <mergeCell ref="AB342:AF342"/>
    <mergeCell ref="X341:Y342"/>
    <mergeCell ref="Z341:Z342"/>
    <mergeCell ref="AA341:AA342"/>
    <mergeCell ref="AB341:AF341"/>
    <mergeCell ref="O341:P342"/>
    <mergeCell ref="R343:U343"/>
    <mergeCell ref="W343:Z343"/>
    <mergeCell ref="AB343:AE343"/>
    <mergeCell ref="AI343:AK343"/>
    <mergeCell ref="E352:F352"/>
    <mergeCell ref="M352:N352"/>
    <mergeCell ref="V352:X352"/>
    <mergeCell ref="AG353:AJ353"/>
    <mergeCell ref="AG355:AI355"/>
    <mergeCell ref="AG356:AI356"/>
    <mergeCell ref="AM356:AO356"/>
    <mergeCell ref="AG357:AI357"/>
    <mergeCell ref="AG359:AI359"/>
    <mergeCell ref="AM359:AO359"/>
    <mergeCell ref="M360:R360"/>
    <mergeCell ref="AG361:AI361"/>
    <mergeCell ref="AM361:AO361"/>
    <mergeCell ref="CA361:CC361"/>
    <mergeCell ref="F362:H362"/>
    <mergeCell ref="N362:S362"/>
    <mergeCell ref="X362:Z362"/>
    <mergeCell ref="AG362:AI362"/>
    <mergeCell ref="CA362:CC362"/>
    <mergeCell ref="AG363:AI363"/>
    <mergeCell ref="CA363:CC363"/>
    <mergeCell ref="AG364:AI364"/>
    <mergeCell ref="CA364:CC364"/>
    <mergeCell ref="AG365:AI365"/>
    <mergeCell ref="CA365:CC365"/>
    <mergeCell ref="AG366:AI366"/>
    <mergeCell ref="AG367:AH367"/>
    <mergeCell ref="AJ367:AK367"/>
    <mergeCell ref="AN367:AO367"/>
    <mergeCell ref="AQ367:AR367"/>
    <mergeCell ref="D369:AB369"/>
    <mergeCell ref="AC369:AF369"/>
    <mergeCell ref="AG369:AL369"/>
    <mergeCell ref="AC370:AF370"/>
    <mergeCell ref="AG370:AL370"/>
    <mergeCell ref="AC371:AF371"/>
    <mergeCell ref="AG371:AL371"/>
    <mergeCell ref="AC372:AF372"/>
    <mergeCell ref="AG372:AL372"/>
    <mergeCell ref="AC373:AF373"/>
    <mergeCell ref="AG373:AL373"/>
    <mergeCell ref="AC374:AF374"/>
    <mergeCell ref="AG374:AL374"/>
    <mergeCell ref="AC375:AF375"/>
    <mergeCell ref="AG375:AL375"/>
    <mergeCell ref="AC376:AF376"/>
    <mergeCell ref="AG376:AL376"/>
    <mergeCell ref="C379:J379"/>
    <mergeCell ref="K379:M379"/>
    <mergeCell ref="N379:P379"/>
    <mergeCell ref="Q379:T379"/>
    <mergeCell ref="U379:X379"/>
    <mergeCell ref="Y379:AC379"/>
    <mergeCell ref="AD379:AI379"/>
    <mergeCell ref="AJ379:AO379"/>
    <mergeCell ref="K380:M380"/>
    <mergeCell ref="N380:P380"/>
    <mergeCell ref="Q380:T380"/>
    <mergeCell ref="U380:X380"/>
    <mergeCell ref="Y380:AC380"/>
    <mergeCell ref="AD380:AI380"/>
    <mergeCell ref="AJ380:AO380"/>
    <mergeCell ref="K381:M381"/>
    <mergeCell ref="N381:P381"/>
    <mergeCell ref="Q381:T381"/>
    <mergeCell ref="U381:X381"/>
    <mergeCell ref="Y381:AC381"/>
    <mergeCell ref="AD381:AI381"/>
    <mergeCell ref="AJ381:AO381"/>
    <mergeCell ref="K382:M382"/>
    <mergeCell ref="N382:P382"/>
    <mergeCell ref="Q382:T382"/>
    <mergeCell ref="U382:X382"/>
    <mergeCell ref="Y382:AC382"/>
    <mergeCell ref="AD382:AI382"/>
    <mergeCell ref="AJ382:AO382"/>
    <mergeCell ref="K383:M383"/>
    <mergeCell ref="N383:P383"/>
    <mergeCell ref="Q383:T383"/>
    <mergeCell ref="U383:X383"/>
    <mergeCell ref="Y383:AC383"/>
    <mergeCell ref="AD383:AI383"/>
    <mergeCell ref="AJ383:AO383"/>
    <mergeCell ref="K384:M384"/>
    <mergeCell ref="N384:P384"/>
    <mergeCell ref="Q384:T384"/>
    <mergeCell ref="U384:X384"/>
    <mergeCell ref="Y384:AC384"/>
    <mergeCell ref="AD384:AI384"/>
    <mergeCell ref="AJ384:AO384"/>
    <mergeCell ref="K385:M385"/>
    <mergeCell ref="N385:P385"/>
    <mergeCell ref="Q385:T385"/>
    <mergeCell ref="U385:X385"/>
    <mergeCell ref="Y385:AC385"/>
    <mergeCell ref="AD385:AI385"/>
    <mergeCell ref="AJ385:AO385"/>
    <mergeCell ref="C386:J386"/>
    <mergeCell ref="Q386:T386"/>
    <mergeCell ref="Y386:AC386"/>
    <mergeCell ref="AD386:AI386"/>
    <mergeCell ref="AJ386:AO386"/>
    <mergeCell ref="L401:P401"/>
    <mergeCell ref="R401:X401"/>
    <mergeCell ref="Z401:AE401"/>
    <mergeCell ref="L402:P402"/>
    <mergeCell ref="R402:V402"/>
    <mergeCell ref="X402:AC402"/>
    <mergeCell ref="L403:P403"/>
    <mergeCell ref="R403:V403"/>
    <mergeCell ref="X403:AB403"/>
    <mergeCell ref="AD403:AI403"/>
    <mergeCell ref="M404:P404"/>
    <mergeCell ref="U404:V404"/>
    <mergeCell ref="X404:AB404"/>
    <mergeCell ref="AD404:AI404"/>
    <mergeCell ref="P405:T405"/>
    <mergeCell ref="V405:Y405"/>
    <mergeCell ref="AA405:AE405"/>
    <mergeCell ref="AB406:AF406"/>
    <mergeCell ref="M407:Q407"/>
    <mergeCell ref="M408:Q408"/>
    <mergeCell ref="S409:W409"/>
    <mergeCell ref="N412:R412"/>
    <mergeCell ref="N413:R413"/>
    <mergeCell ref="S414:W414"/>
    <mergeCell ref="Z417:AC417"/>
    <mergeCell ref="AJ417:AL417"/>
    <mergeCell ref="AU417:AW417"/>
    <mergeCell ref="AX417:AZ417"/>
    <mergeCell ref="BA417:BC417"/>
    <mergeCell ref="BD417:BF417"/>
    <mergeCell ref="BG417:BI417"/>
    <mergeCell ref="BJ417:BL417"/>
    <mergeCell ref="BM417:BO417"/>
    <mergeCell ref="BP417:BR417"/>
    <mergeCell ref="BS417:BU417"/>
    <mergeCell ref="BV417:BX417"/>
    <mergeCell ref="BY417:CA417"/>
    <mergeCell ref="CB417:CD417"/>
    <mergeCell ref="CE417:CG417"/>
    <mergeCell ref="CH417:CJ417"/>
    <mergeCell ref="AU418:AW418"/>
    <mergeCell ref="AX418:AZ418"/>
    <mergeCell ref="BA418:BC418"/>
    <mergeCell ref="BD418:BF418"/>
    <mergeCell ref="BG418:BI418"/>
    <mergeCell ref="BJ418:BL418"/>
    <mergeCell ref="BM418:BO418"/>
    <mergeCell ref="BP418:BR418"/>
    <mergeCell ref="BS418:BU418"/>
    <mergeCell ref="BV418:BX418"/>
    <mergeCell ref="BY418:CA418"/>
    <mergeCell ref="CB418:CD418"/>
    <mergeCell ref="CE418:CG418"/>
    <mergeCell ref="CH418:CJ418"/>
    <mergeCell ref="AU419:AW419"/>
    <mergeCell ref="AX419:AZ419"/>
    <mergeCell ref="BA419:BC419"/>
    <mergeCell ref="BD419:BF419"/>
    <mergeCell ref="BG419:BI419"/>
    <mergeCell ref="BJ419:BL419"/>
    <mergeCell ref="BM419:BO419"/>
    <mergeCell ref="BP419:BR419"/>
    <mergeCell ref="BS419:BU419"/>
    <mergeCell ref="BV419:BX419"/>
    <mergeCell ref="BY419:CA419"/>
    <mergeCell ref="CB419:CD419"/>
    <mergeCell ref="CE419:CG419"/>
    <mergeCell ref="CH419:CJ419"/>
    <mergeCell ref="AU420:AW420"/>
    <mergeCell ref="AX420:AZ420"/>
    <mergeCell ref="BA420:BC420"/>
    <mergeCell ref="BD420:BF420"/>
    <mergeCell ref="BG420:BI420"/>
    <mergeCell ref="BJ420:BL420"/>
    <mergeCell ref="BM420:BO420"/>
    <mergeCell ref="BP420:BR420"/>
    <mergeCell ref="BS420:BU420"/>
    <mergeCell ref="BV420:BX420"/>
    <mergeCell ref="BY420:CA420"/>
    <mergeCell ref="CB420:CD420"/>
    <mergeCell ref="CE420:CG420"/>
    <mergeCell ref="CH420:CJ420"/>
    <mergeCell ref="E421:G421"/>
    <mergeCell ref="J421:K421"/>
    <mergeCell ref="M421:N421"/>
    <mergeCell ref="Q421:S421"/>
    <mergeCell ref="V421:W421"/>
    <mergeCell ref="Y421:Z421"/>
    <mergeCell ref="AC421:AD421"/>
    <mergeCell ref="AF421:AI421"/>
    <mergeCell ref="AU422:AW422"/>
    <mergeCell ref="AX422:AZ422"/>
    <mergeCell ref="BA422:BC422"/>
    <mergeCell ref="BD422:BF422"/>
    <mergeCell ref="BG422:BI422"/>
    <mergeCell ref="BJ422:BL422"/>
    <mergeCell ref="BM422:BO422"/>
    <mergeCell ref="BP422:BR422"/>
    <mergeCell ref="BS422:BU422"/>
    <mergeCell ref="BV422:BX422"/>
    <mergeCell ref="BY422:CA422"/>
    <mergeCell ref="CB422:CD422"/>
    <mergeCell ref="CE422:CG422"/>
    <mergeCell ref="CH422:CJ422"/>
    <mergeCell ref="AU423:AW423"/>
    <mergeCell ref="AX423:AZ423"/>
    <mergeCell ref="BA423:BC423"/>
    <mergeCell ref="BD423:BF423"/>
    <mergeCell ref="BG423:BI423"/>
    <mergeCell ref="BJ423:BL423"/>
    <mergeCell ref="BM423:BO423"/>
    <mergeCell ref="BP423:BR423"/>
    <mergeCell ref="BS423:BU423"/>
    <mergeCell ref="BV423:BX423"/>
    <mergeCell ref="BY423:CA423"/>
    <mergeCell ref="CB423:CD423"/>
    <mergeCell ref="CE423:CG423"/>
    <mergeCell ref="CH423:CJ423"/>
    <mergeCell ref="AU424:AW424"/>
    <mergeCell ref="AX424:AZ424"/>
    <mergeCell ref="BA424:BC424"/>
    <mergeCell ref="BD424:BF424"/>
    <mergeCell ref="BG424:BI424"/>
    <mergeCell ref="BJ424:BL424"/>
    <mergeCell ref="BM424:BO424"/>
    <mergeCell ref="BP424:BR424"/>
    <mergeCell ref="BS424:BU424"/>
    <mergeCell ref="BV424:BX424"/>
    <mergeCell ref="BY424:CA424"/>
    <mergeCell ref="CB424:CD424"/>
    <mergeCell ref="CE424:CG424"/>
    <mergeCell ref="CH424:CJ424"/>
    <mergeCell ref="AU425:AW425"/>
    <mergeCell ref="AX425:AZ425"/>
    <mergeCell ref="BA425:BC425"/>
    <mergeCell ref="BD425:BF425"/>
    <mergeCell ref="BG425:BI425"/>
    <mergeCell ref="BJ425:BL425"/>
    <mergeCell ref="BM425:BO425"/>
    <mergeCell ref="BP425:BR425"/>
    <mergeCell ref="BS425:BU425"/>
    <mergeCell ref="BV425:BX425"/>
    <mergeCell ref="BY425:CA425"/>
    <mergeCell ref="CB425:CD425"/>
    <mergeCell ref="CE425:CG425"/>
    <mergeCell ref="CH425:CJ425"/>
    <mergeCell ref="AU427:AW427"/>
    <mergeCell ref="AX427:AZ427"/>
    <mergeCell ref="BA427:BC427"/>
    <mergeCell ref="BD427:BF427"/>
    <mergeCell ref="BG427:BI427"/>
    <mergeCell ref="BJ427:BL427"/>
    <mergeCell ref="BM427:BO427"/>
    <mergeCell ref="BP427:BR427"/>
    <mergeCell ref="BS427:BU427"/>
    <mergeCell ref="BV427:BX427"/>
    <mergeCell ref="BY427:CA427"/>
    <mergeCell ref="CB427:CD427"/>
    <mergeCell ref="CE427:CG427"/>
    <mergeCell ref="CH427:CJ427"/>
    <mergeCell ref="S428:V428"/>
    <mergeCell ref="AU428:AW428"/>
    <mergeCell ref="AX428:AZ428"/>
    <mergeCell ref="BA428:BC428"/>
    <mergeCell ref="BD428:BF428"/>
    <mergeCell ref="BG428:BI428"/>
    <mergeCell ref="BJ428:BL428"/>
    <mergeCell ref="BM428:BO428"/>
    <mergeCell ref="BP428:BR428"/>
    <mergeCell ref="BS428:BU428"/>
    <mergeCell ref="BV428:BX428"/>
    <mergeCell ref="BY428:CA428"/>
    <mergeCell ref="CB428:CD428"/>
    <mergeCell ref="CE428:CG428"/>
    <mergeCell ref="CH428:CJ428"/>
    <mergeCell ref="H429:K429"/>
    <mergeCell ref="AU429:AW429"/>
    <mergeCell ref="AX429:AZ429"/>
    <mergeCell ref="BA429:BC429"/>
    <mergeCell ref="BD429:BF429"/>
    <mergeCell ref="BG429:BI429"/>
    <mergeCell ref="BJ429:BL429"/>
    <mergeCell ref="BM429:BO429"/>
    <mergeCell ref="BP429:BR429"/>
    <mergeCell ref="BS429:BU429"/>
    <mergeCell ref="BV429:BX429"/>
    <mergeCell ref="BY429:CA429"/>
    <mergeCell ref="CB429:CD429"/>
    <mergeCell ref="CE429:CG429"/>
    <mergeCell ref="CH429:CJ429"/>
    <mergeCell ref="S430:V430"/>
    <mergeCell ref="AU430:AW430"/>
    <mergeCell ref="AX430:AZ430"/>
    <mergeCell ref="BA430:BC430"/>
    <mergeCell ref="BD430:BF430"/>
    <mergeCell ref="BG430:BI430"/>
    <mergeCell ref="BJ430:BL430"/>
    <mergeCell ref="BM430:BO430"/>
    <mergeCell ref="BP430:BR430"/>
    <mergeCell ref="BS430:BU430"/>
    <mergeCell ref="BV430:BX430"/>
    <mergeCell ref="BY430:CA430"/>
    <mergeCell ref="CB430:CD430"/>
    <mergeCell ref="CE430:CG430"/>
    <mergeCell ref="CH430:CJ430"/>
    <mergeCell ref="E431:I432"/>
    <mergeCell ref="K431:L431"/>
    <mergeCell ref="P431:P432"/>
    <mergeCell ref="T431:V431"/>
    <mergeCell ref="AA431:AB432"/>
    <mergeCell ref="AC431:AE432"/>
    <mergeCell ref="AF431:AG432"/>
    <mergeCell ref="J432:K432"/>
    <mergeCell ref="R432:S432"/>
    <mergeCell ref="U432:W432"/>
    <mergeCell ref="Y432:Z432"/>
    <mergeCell ref="AU432:AW432"/>
    <mergeCell ref="AX432:AZ432"/>
    <mergeCell ref="BA432:BC432"/>
    <mergeCell ref="BD432:BF432"/>
    <mergeCell ref="BG432:BI432"/>
    <mergeCell ref="BJ432:BL432"/>
    <mergeCell ref="BM432:BO432"/>
    <mergeCell ref="BP432:BR432"/>
    <mergeCell ref="BS432:BU432"/>
    <mergeCell ref="BV432:BX432"/>
    <mergeCell ref="BY432:CA432"/>
    <mergeCell ref="CB432:CD432"/>
    <mergeCell ref="CE432:CG432"/>
    <mergeCell ref="CH432:CJ432"/>
    <mergeCell ref="O433:R433"/>
    <mergeCell ref="AU433:AW433"/>
    <mergeCell ref="AX433:AZ433"/>
    <mergeCell ref="BA433:BC433"/>
    <mergeCell ref="BD433:BF433"/>
    <mergeCell ref="BG433:BI433"/>
    <mergeCell ref="BJ433:BL433"/>
    <mergeCell ref="BM433:BO433"/>
    <mergeCell ref="BP433:BR433"/>
    <mergeCell ref="BS433:BU433"/>
    <mergeCell ref="BV433:BX433"/>
    <mergeCell ref="BY433:CA433"/>
    <mergeCell ref="CB433:CD433"/>
    <mergeCell ref="CE433:CG433"/>
    <mergeCell ref="CH433:CJ433"/>
    <mergeCell ref="F434:G434"/>
    <mergeCell ref="J434:J435"/>
    <mergeCell ref="K434:O435"/>
    <mergeCell ref="Q434:R434"/>
    <mergeCell ref="U434:U435"/>
    <mergeCell ref="X434:Z434"/>
    <mergeCell ref="AE434:AE435"/>
    <mergeCell ref="BA434:BC434"/>
    <mergeCell ref="BD434:BF434"/>
    <mergeCell ref="BG434:BI434"/>
    <mergeCell ref="BJ434:BL434"/>
    <mergeCell ref="BM434:BO434"/>
    <mergeCell ref="BP434:BR434"/>
    <mergeCell ref="BS434:BU434"/>
    <mergeCell ref="BV434:BX434"/>
    <mergeCell ref="BY434:CA434"/>
    <mergeCell ref="CB434:CD434"/>
    <mergeCell ref="CE434:CG434"/>
    <mergeCell ref="CH434:CJ434"/>
    <mergeCell ref="E435:F435"/>
    <mergeCell ref="P435:Q435"/>
    <mergeCell ref="V435:W435"/>
    <mergeCell ref="Y435:AA435"/>
    <mergeCell ref="AC435:AD435"/>
    <mergeCell ref="AU435:AW435"/>
    <mergeCell ref="AX435:AZ435"/>
    <mergeCell ref="BA435:BC435"/>
    <mergeCell ref="AF434:AH435"/>
    <mergeCell ref="AI434:AJ435"/>
    <mergeCell ref="AU434:AW434"/>
    <mergeCell ref="AX434:AZ434"/>
    <mergeCell ref="BD435:BF435"/>
    <mergeCell ref="BG435:BI435"/>
    <mergeCell ref="BJ435:BL435"/>
    <mergeCell ref="BM435:BO435"/>
    <mergeCell ref="CB435:CD435"/>
    <mergeCell ref="CE435:CG435"/>
    <mergeCell ref="CH435:CJ435"/>
    <mergeCell ref="O436:Q436"/>
    <mergeCell ref="S436:T436"/>
    <mergeCell ref="AF436:AI436"/>
    <mergeCell ref="BP435:BR435"/>
    <mergeCell ref="BS435:BU435"/>
    <mergeCell ref="BV435:BX435"/>
    <mergeCell ref="BY435:CA435"/>
    <mergeCell ref="F437:G437"/>
    <mergeCell ref="J437:J438"/>
    <mergeCell ref="K437:O438"/>
    <mergeCell ref="Q437:R437"/>
    <mergeCell ref="AI437:AJ438"/>
    <mergeCell ref="E438:F438"/>
    <mergeCell ref="P438:Q438"/>
    <mergeCell ref="V438:W438"/>
    <mergeCell ref="Y438:AA438"/>
    <mergeCell ref="AC438:AD438"/>
    <mergeCell ref="U437:U438"/>
    <mergeCell ref="X437:Z437"/>
    <mergeCell ref="AE437:AE438"/>
    <mergeCell ref="AF437:AH438"/>
    <mergeCell ref="N439:Q439"/>
    <mergeCell ref="AA439:AD439"/>
    <mergeCell ref="J440:L440"/>
    <mergeCell ref="L441:O441"/>
    <mergeCell ref="C444:G446"/>
    <mergeCell ref="H444:AA444"/>
    <mergeCell ref="AB444:AI445"/>
    <mergeCell ref="AJ444:AQ444"/>
    <mergeCell ref="H445:Q445"/>
    <mergeCell ref="R445:AA445"/>
    <mergeCell ref="AJ445:AQ445"/>
    <mergeCell ref="H446:L446"/>
    <mergeCell ref="M446:Q446"/>
    <mergeCell ref="R446:V446"/>
    <mergeCell ref="W446:AA446"/>
    <mergeCell ref="AB446:AE446"/>
    <mergeCell ref="AF446:AI446"/>
    <mergeCell ref="AJ446:AM446"/>
    <mergeCell ref="AN446:AQ446"/>
    <mergeCell ref="C447:G447"/>
    <mergeCell ref="H447:L447"/>
    <mergeCell ref="M447:Q447"/>
    <mergeCell ref="R447:V447"/>
    <mergeCell ref="W447:AA447"/>
    <mergeCell ref="AB447:AE447"/>
    <mergeCell ref="AF447:AI447"/>
    <mergeCell ref="AJ447:AM447"/>
    <mergeCell ref="AN447:AQ447"/>
    <mergeCell ref="C448:G448"/>
    <mergeCell ref="H448:L448"/>
    <mergeCell ref="M448:Q448"/>
    <mergeCell ref="R448:V448"/>
    <mergeCell ref="W448:AA448"/>
    <mergeCell ref="AB448:AE448"/>
    <mergeCell ref="AF448:AI448"/>
    <mergeCell ref="AJ448:AM448"/>
    <mergeCell ref="AG453:AH454"/>
    <mergeCell ref="AN448:AQ448"/>
    <mergeCell ref="F453:F454"/>
    <mergeCell ref="G453:H453"/>
    <mergeCell ref="I453:L454"/>
    <mergeCell ref="M453:N453"/>
    <mergeCell ref="O453:P454"/>
    <mergeCell ref="Q453:Q454"/>
    <mergeCell ref="R453:R454"/>
    <mergeCell ref="S453:W453"/>
    <mergeCell ref="G454:H454"/>
    <mergeCell ref="M454:N454"/>
    <mergeCell ref="S454:W454"/>
    <mergeCell ref="AB454:AF454"/>
    <mergeCell ref="Z453:Z454"/>
    <mergeCell ref="AA453:AA454"/>
    <mergeCell ref="AB453:AF453"/>
    <mergeCell ref="X453:Y454"/>
    <mergeCell ref="R455:U455"/>
    <mergeCell ref="W455:Z455"/>
    <mergeCell ref="AB455:AE455"/>
    <mergeCell ref="AI455:AK455"/>
    <mergeCell ref="Q458:Q459"/>
    <mergeCell ref="R458:R459"/>
    <mergeCell ref="S458:W458"/>
    <mergeCell ref="F458:F459"/>
    <mergeCell ref="G458:H458"/>
    <mergeCell ref="I458:L459"/>
    <mergeCell ref="M458:N458"/>
    <mergeCell ref="AG458:AH459"/>
    <mergeCell ref="G459:H459"/>
    <mergeCell ref="M459:N459"/>
    <mergeCell ref="S459:W459"/>
    <mergeCell ref="AB459:AF459"/>
    <mergeCell ref="X458:Y459"/>
    <mergeCell ref="Z458:Z459"/>
    <mergeCell ref="AA458:AA459"/>
    <mergeCell ref="AB458:AF458"/>
    <mergeCell ref="O458:P459"/>
    <mergeCell ref="R460:U460"/>
    <mergeCell ref="W460:Z460"/>
    <mergeCell ref="AB460:AE460"/>
    <mergeCell ref="AI460:AK460"/>
    <mergeCell ref="E469:F469"/>
    <mergeCell ref="M469:N469"/>
    <mergeCell ref="V469:X469"/>
    <mergeCell ref="AG470:AJ470"/>
    <mergeCell ref="AG472:AI472"/>
    <mergeCell ref="AG473:AI473"/>
    <mergeCell ref="AM473:AO473"/>
    <mergeCell ref="AG474:AI474"/>
    <mergeCell ref="AG476:AI476"/>
    <mergeCell ref="AM476:AO476"/>
    <mergeCell ref="M477:R477"/>
    <mergeCell ref="AG478:AI478"/>
    <mergeCell ref="AM478:AO478"/>
    <mergeCell ref="CA478:CC478"/>
    <mergeCell ref="F479:H479"/>
    <mergeCell ref="N479:S479"/>
    <mergeCell ref="X479:Z479"/>
    <mergeCell ref="AG479:AI479"/>
    <mergeCell ref="CA479:CC479"/>
    <mergeCell ref="AG480:AI480"/>
    <mergeCell ref="CA480:CC480"/>
    <mergeCell ref="AG481:AI481"/>
    <mergeCell ref="CA481:CC481"/>
    <mergeCell ref="AG482:AI482"/>
    <mergeCell ref="CA482:CC482"/>
    <mergeCell ref="AG483:AI483"/>
    <mergeCell ref="AG484:AH484"/>
    <mergeCell ref="AJ484:AK484"/>
    <mergeCell ref="AN484:AO484"/>
    <mergeCell ref="AQ484:AR484"/>
    <mergeCell ref="D486:AB486"/>
    <mergeCell ref="AC486:AF486"/>
    <mergeCell ref="AG486:AL486"/>
    <mergeCell ref="AC487:AF487"/>
    <mergeCell ref="AG487:AL487"/>
    <mergeCell ref="AC488:AF488"/>
    <mergeCell ref="AG488:AL488"/>
    <mergeCell ref="AC489:AF489"/>
    <mergeCell ref="AG489:AL489"/>
    <mergeCell ref="AC490:AF490"/>
    <mergeCell ref="AG490:AL490"/>
    <mergeCell ref="AC491:AF491"/>
    <mergeCell ref="AG491:AL491"/>
    <mergeCell ref="AC492:AF492"/>
    <mergeCell ref="AG492:AL492"/>
    <mergeCell ref="AC493:AF493"/>
    <mergeCell ref="AG493:AL493"/>
    <mergeCell ref="C496:J496"/>
    <mergeCell ref="K496:M496"/>
    <mergeCell ref="N496:P496"/>
    <mergeCell ref="Q496:T496"/>
    <mergeCell ref="U496:X496"/>
    <mergeCell ref="Y496:AC496"/>
    <mergeCell ref="AD496:AI496"/>
    <mergeCell ref="AJ496:AO496"/>
    <mergeCell ref="K497:M497"/>
    <mergeCell ref="N497:P497"/>
    <mergeCell ref="Q497:T497"/>
    <mergeCell ref="U497:X497"/>
    <mergeCell ref="Y497:AC497"/>
    <mergeCell ref="AD497:AI497"/>
    <mergeCell ref="AJ497:AO497"/>
    <mergeCell ref="K498:M498"/>
    <mergeCell ref="N498:P498"/>
    <mergeCell ref="Q498:T498"/>
    <mergeCell ref="U498:X498"/>
    <mergeCell ref="Y498:AC498"/>
    <mergeCell ref="AD498:AI498"/>
    <mergeCell ref="AJ498:AO498"/>
    <mergeCell ref="K499:M499"/>
    <mergeCell ref="N499:P499"/>
    <mergeCell ref="Q499:T499"/>
    <mergeCell ref="U499:X499"/>
    <mergeCell ref="Y499:AC499"/>
    <mergeCell ref="AD499:AI499"/>
    <mergeCell ref="AJ499:AO499"/>
    <mergeCell ref="K500:M500"/>
    <mergeCell ref="N500:P500"/>
    <mergeCell ref="Q500:T500"/>
    <mergeCell ref="U500:X500"/>
    <mergeCell ref="Y500:AC500"/>
    <mergeCell ref="AD500:AI500"/>
    <mergeCell ref="AJ500:AO500"/>
    <mergeCell ref="K501:M501"/>
    <mergeCell ref="N501:P501"/>
    <mergeCell ref="Q501:T501"/>
    <mergeCell ref="U501:X501"/>
    <mergeCell ref="Y501:AC501"/>
    <mergeCell ref="AD501:AI501"/>
    <mergeCell ref="AJ501:AO501"/>
    <mergeCell ref="K502:M502"/>
    <mergeCell ref="N502:P502"/>
    <mergeCell ref="Q502:T502"/>
    <mergeCell ref="U502:X502"/>
    <mergeCell ref="Y502:AC502"/>
    <mergeCell ref="AD502:AI502"/>
    <mergeCell ref="AJ502:AO502"/>
    <mergeCell ref="C503:J503"/>
    <mergeCell ref="Q503:T503"/>
    <mergeCell ref="Y503:AC503"/>
    <mergeCell ref="AD503:AI503"/>
    <mergeCell ref="AJ503:AO503"/>
    <mergeCell ref="L518:P518"/>
    <mergeCell ref="R518:X518"/>
    <mergeCell ref="Z518:AE518"/>
    <mergeCell ref="L519:P519"/>
    <mergeCell ref="R519:V519"/>
    <mergeCell ref="X519:AC519"/>
    <mergeCell ref="L520:P520"/>
    <mergeCell ref="R520:V520"/>
    <mergeCell ref="X520:AB520"/>
    <mergeCell ref="AD520:AI520"/>
    <mergeCell ref="M521:P521"/>
    <mergeCell ref="U521:V521"/>
    <mergeCell ref="X521:AB521"/>
    <mergeCell ref="AD521:AI521"/>
    <mergeCell ref="P522:T522"/>
    <mergeCell ref="V522:Y522"/>
    <mergeCell ref="AA522:AE522"/>
    <mergeCell ref="AB523:AF523"/>
    <mergeCell ref="M524:Q524"/>
    <mergeCell ref="M525:Q525"/>
    <mergeCell ref="S526:W526"/>
    <mergeCell ref="N529:R529"/>
    <mergeCell ref="N530:R530"/>
    <mergeCell ref="S531:W531"/>
    <mergeCell ref="Z534:AC534"/>
    <mergeCell ref="AJ534:AL534"/>
    <mergeCell ref="AU534:AW534"/>
    <mergeCell ref="AX534:AZ534"/>
    <mergeCell ref="BA534:BC534"/>
    <mergeCell ref="BD534:BF534"/>
    <mergeCell ref="BG534:BI534"/>
    <mergeCell ref="BJ534:BL534"/>
    <mergeCell ref="BM534:BO534"/>
    <mergeCell ref="BP534:BR534"/>
    <mergeCell ref="BS534:BU534"/>
    <mergeCell ref="BV534:BX534"/>
    <mergeCell ref="BY534:CA534"/>
    <mergeCell ref="CB534:CD534"/>
    <mergeCell ref="CE534:CG534"/>
    <mergeCell ref="CH534:CJ534"/>
    <mergeCell ref="AU535:AW535"/>
    <mergeCell ref="AX535:AZ535"/>
    <mergeCell ref="BA535:BC535"/>
    <mergeCell ref="BD535:BF535"/>
    <mergeCell ref="BG535:BI535"/>
    <mergeCell ref="BJ535:BL535"/>
    <mergeCell ref="BM535:BO535"/>
    <mergeCell ref="BP535:BR535"/>
    <mergeCell ref="BS535:BU535"/>
    <mergeCell ref="BV535:BX535"/>
    <mergeCell ref="BY535:CA535"/>
    <mergeCell ref="CB535:CD535"/>
    <mergeCell ref="CE535:CG535"/>
    <mergeCell ref="CH535:CJ535"/>
    <mergeCell ref="AU536:AW536"/>
    <mergeCell ref="AX536:AZ536"/>
    <mergeCell ref="BA536:BC536"/>
    <mergeCell ref="BD536:BF536"/>
    <mergeCell ref="BG536:BI536"/>
    <mergeCell ref="BJ536:BL536"/>
    <mergeCell ref="BM536:BO536"/>
    <mergeCell ref="BP536:BR536"/>
    <mergeCell ref="BS536:BU536"/>
    <mergeCell ref="BV536:BX536"/>
    <mergeCell ref="BY536:CA536"/>
    <mergeCell ref="CB536:CD536"/>
    <mergeCell ref="CE536:CG536"/>
    <mergeCell ref="CH536:CJ536"/>
    <mergeCell ref="AU537:AW537"/>
    <mergeCell ref="AX537:AZ537"/>
    <mergeCell ref="BA537:BC537"/>
    <mergeCell ref="BD537:BF537"/>
    <mergeCell ref="BG537:BI537"/>
    <mergeCell ref="BJ537:BL537"/>
    <mergeCell ref="BM537:BO537"/>
    <mergeCell ref="BP537:BR537"/>
    <mergeCell ref="BS537:BU537"/>
    <mergeCell ref="BV537:BX537"/>
    <mergeCell ref="BY537:CA537"/>
    <mergeCell ref="CB537:CD537"/>
    <mergeCell ref="CE537:CG537"/>
    <mergeCell ref="CH537:CJ537"/>
    <mergeCell ref="E538:G538"/>
    <mergeCell ref="J538:K538"/>
    <mergeCell ref="M538:N538"/>
    <mergeCell ref="Q538:S538"/>
    <mergeCell ref="V538:W538"/>
    <mergeCell ref="Y538:Z538"/>
    <mergeCell ref="AC538:AD538"/>
    <mergeCell ref="AF538:AI538"/>
    <mergeCell ref="AU539:AW539"/>
    <mergeCell ref="AX539:AZ539"/>
    <mergeCell ref="BA539:BC539"/>
    <mergeCell ref="BD539:BF539"/>
    <mergeCell ref="BG539:BI539"/>
    <mergeCell ref="BJ539:BL539"/>
    <mergeCell ref="BM539:BO539"/>
    <mergeCell ref="BP539:BR539"/>
    <mergeCell ref="BS539:BU539"/>
    <mergeCell ref="BV539:BX539"/>
    <mergeCell ref="BY539:CA539"/>
    <mergeCell ref="CB539:CD539"/>
    <mergeCell ref="CE539:CG539"/>
    <mergeCell ref="CH539:CJ539"/>
    <mergeCell ref="AU540:AW540"/>
    <mergeCell ref="AX540:AZ540"/>
    <mergeCell ref="BA540:BC540"/>
    <mergeCell ref="BD540:BF540"/>
    <mergeCell ref="BG540:BI540"/>
    <mergeCell ref="BJ540:BL540"/>
    <mergeCell ref="BM540:BO540"/>
    <mergeCell ref="BP540:BR540"/>
    <mergeCell ref="BS540:BU540"/>
    <mergeCell ref="BV540:BX540"/>
    <mergeCell ref="BY540:CA540"/>
    <mergeCell ref="CB540:CD540"/>
    <mergeCell ref="CE540:CG540"/>
    <mergeCell ref="CH540:CJ540"/>
    <mergeCell ref="AU541:AW541"/>
    <mergeCell ref="AX541:AZ541"/>
    <mergeCell ref="BA541:BC541"/>
    <mergeCell ref="BD541:BF541"/>
    <mergeCell ref="BG541:BI541"/>
    <mergeCell ref="BJ541:BL541"/>
    <mergeCell ref="BM541:BO541"/>
    <mergeCell ref="BP541:BR541"/>
    <mergeCell ref="BS541:BU541"/>
    <mergeCell ref="BV541:BX541"/>
    <mergeCell ref="BY541:CA541"/>
    <mergeCell ref="CB541:CD541"/>
    <mergeCell ref="CE541:CG541"/>
    <mergeCell ref="CH541:CJ541"/>
    <mergeCell ref="AU542:AW542"/>
    <mergeCell ref="AX542:AZ542"/>
    <mergeCell ref="BA542:BC542"/>
    <mergeCell ref="BD542:BF542"/>
    <mergeCell ref="BG542:BI542"/>
    <mergeCell ref="BJ542:BL542"/>
    <mergeCell ref="BM542:BO542"/>
    <mergeCell ref="BP542:BR542"/>
    <mergeCell ref="BS542:BU542"/>
    <mergeCell ref="BV542:BX542"/>
    <mergeCell ref="BY542:CA542"/>
    <mergeCell ref="CB542:CD542"/>
    <mergeCell ref="CE542:CG542"/>
    <mergeCell ref="CH542:CJ542"/>
    <mergeCell ref="AU544:AW544"/>
    <mergeCell ref="AX544:AZ544"/>
    <mergeCell ref="BA544:BC544"/>
    <mergeCell ref="BD544:BF544"/>
    <mergeCell ref="BG544:BI544"/>
    <mergeCell ref="BJ544:BL544"/>
    <mergeCell ref="BM544:BO544"/>
    <mergeCell ref="BP544:BR544"/>
    <mergeCell ref="BS544:BU544"/>
    <mergeCell ref="BV544:BX544"/>
    <mergeCell ref="BY544:CA544"/>
    <mergeCell ref="CB544:CD544"/>
    <mergeCell ref="CE544:CG544"/>
    <mergeCell ref="CH544:CJ544"/>
    <mergeCell ref="S545:V545"/>
    <mergeCell ref="AU545:AW545"/>
    <mergeCell ref="AX545:AZ545"/>
    <mergeCell ref="BA545:BC545"/>
    <mergeCell ref="BD545:BF545"/>
    <mergeCell ref="BG545:BI545"/>
    <mergeCell ref="BJ545:BL545"/>
    <mergeCell ref="BM545:BO545"/>
    <mergeCell ref="BP545:BR545"/>
    <mergeCell ref="BS545:BU545"/>
    <mergeCell ref="BV545:BX545"/>
    <mergeCell ref="BY545:CA545"/>
    <mergeCell ref="CB545:CD545"/>
    <mergeCell ref="CE545:CG545"/>
    <mergeCell ref="CH545:CJ545"/>
    <mergeCell ref="H546:K546"/>
    <mergeCell ref="AU546:AW546"/>
    <mergeCell ref="AX546:AZ546"/>
    <mergeCell ref="BA546:BC546"/>
    <mergeCell ref="BD546:BF546"/>
    <mergeCell ref="BG546:BI546"/>
    <mergeCell ref="BJ546:BL546"/>
    <mergeCell ref="BM546:BO546"/>
    <mergeCell ref="BP546:BR546"/>
    <mergeCell ref="BS546:BU546"/>
    <mergeCell ref="BV546:BX546"/>
    <mergeCell ref="BY546:CA546"/>
    <mergeCell ref="CB546:CD546"/>
    <mergeCell ref="CE546:CG546"/>
    <mergeCell ref="CH546:CJ546"/>
    <mergeCell ref="S547:V547"/>
    <mergeCell ref="AU547:AW547"/>
    <mergeCell ref="AX547:AZ547"/>
    <mergeCell ref="BA547:BC547"/>
    <mergeCell ref="BD547:BF547"/>
    <mergeCell ref="BG547:BI547"/>
    <mergeCell ref="BJ547:BL547"/>
    <mergeCell ref="BM547:BO547"/>
    <mergeCell ref="BP547:BR547"/>
    <mergeCell ref="BS547:BU547"/>
    <mergeCell ref="BV547:BX547"/>
    <mergeCell ref="BY547:CA547"/>
    <mergeCell ref="CB547:CD547"/>
    <mergeCell ref="CE547:CG547"/>
    <mergeCell ref="CH547:CJ547"/>
    <mergeCell ref="E548:I549"/>
    <mergeCell ref="K548:L548"/>
    <mergeCell ref="P548:P549"/>
    <mergeCell ref="T548:V548"/>
    <mergeCell ref="AA548:AB549"/>
    <mergeCell ref="AC548:AE549"/>
    <mergeCell ref="AF548:AG549"/>
    <mergeCell ref="J549:K549"/>
    <mergeCell ref="R549:S549"/>
    <mergeCell ref="U549:W549"/>
    <mergeCell ref="Y549:Z549"/>
    <mergeCell ref="AU549:AW549"/>
    <mergeCell ref="AX549:AZ549"/>
    <mergeCell ref="BA549:BC549"/>
    <mergeCell ref="BD549:BF549"/>
    <mergeCell ref="BG549:BI549"/>
    <mergeCell ref="BJ549:BL549"/>
    <mergeCell ref="BM549:BO549"/>
    <mergeCell ref="BP549:BR549"/>
    <mergeCell ref="BS549:BU549"/>
    <mergeCell ref="BV549:BX549"/>
    <mergeCell ref="BY549:CA549"/>
    <mergeCell ref="CB549:CD549"/>
    <mergeCell ref="CE549:CG549"/>
    <mergeCell ref="CH549:CJ549"/>
    <mergeCell ref="O550:R550"/>
    <mergeCell ref="AU550:AW550"/>
    <mergeCell ref="AX550:AZ550"/>
    <mergeCell ref="BA550:BC550"/>
    <mergeCell ref="BD550:BF550"/>
    <mergeCell ref="BG550:BI550"/>
    <mergeCell ref="BJ550:BL550"/>
    <mergeCell ref="BM550:BO550"/>
    <mergeCell ref="BP550:BR550"/>
    <mergeCell ref="BS550:BU550"/>
    <mergeCell ref="BV550:BX550"/>
    <mergeCell ref="BY550:CA550"/>
    <mergeCell ref="CB550:CD550"/>
    <mergeCell ref="CE550:CG550"/>
    <mergeCell ref="CH550:CJ550"/>
    <mergeCell ref="F551:G551"/>
    <mergeCell ref="J551:J552"/>
    <mergeCell ref="K551:O552"/>
    <mergeCell ref="Q551:R551"/>
    <mergeCell ref="U551:U552"/>
    <mergeCell ref="X551:Z551"/>
    <mergeCell ref="AE551:AE552"/>
    <mergeCell ref="BA551:BC551"/>
    <mergeCell ref="BD551:BF551"/>
    <mergeCell ref="BG551:BI551"/>
    <mergeCell ref="BJ551:BL551"/>
    <mergeCell ref="BM551:BO551"/>
    <mergeCell ref="BP551:BR551"/>
    <mergeCell ref="BS551:BU551"/>
    <mergeCell ref="BV551:BX551"/>
    <mergeCell ref="BY551:CA551"/>
    <mergeCell ref="CB551:CD551"/>
    <mergeCell ref="CE551:CG551"/>
    <mergeCell ref="CH551:CJ551"/>
    <mergeCell ref="E552:F552"/>
    <mergeCell ref="P552:Q552"/>
    <mergeCell ref="V552:W552"/>
    <mergeCell ref="Y552:AA552"/>
    <mergeCell ref="AC552:AD552"/>
    <mergeCell ref="AU552:AW552"/>
    <mergeCell ref="AX552:AZ552"/>
    <mergeCell ref="BA552:BC552"/>
    <mergeCell ref="AF551:AH552"/>
    <mergeCell ref="AI551:AJ552"/>
    <mergeCell ref="AU551:AW551"/>
    <mergeCell ref="AX551:AZ551"/>
    <mergeCell ref="BD552:BF552"/>
    <mergeCell ref="BG552:BI552"/>
    <mergeCell ref="BJ552:BL552"/>
    <mergeCell ref="BM552:BO552"/>
    <mergeCell ref="CB552:CD552"/>
    <mergeCell ref="CE552:CG552"/>
    <mergeCell ref="CH552:CJ552"/>
    <mergeCell ref="O553:Q553"/>
    <mergeCell ref="S553:T553"/>
    <mergeCell ref="AF553:AI553"/>
    <mergeCell ref="BP552:BR552"/>
    <mergeCell ref="BS552:BU552"/>
    <mergeCell ref="BV552:BX552"/>
    <mergeCell ref="BY552:CA552"/>
    <mergeCell ref="F554:G554"/>
    <mergeCell ref="J554:J555"/>
    <mergeCell ref="K554:O555"/>
    <mergeCell ref="Q554:R554"/>
    <mergeCell ref="AI554:AJ555"/>
    <mergeCell ref="E555:F555"/>
    <mergeCell ref="P555:Q555"/>
    <mergeCell ref="V555:W555"/>
    <mergeCell ref="Y555:AA555"/>
    <mergeCell ref="AC555:AD555"/>
    <mergeCell ref="U554:U555"/>
    <mergeCell ref="X554:Z554"/>
    <mergeCell ref="AE554:AE555"/>
    <mergeCell ref="AF554:AH555"/>
    <mergeCell ref="N556:Q556"/>
    <mergeCell ref="AA556:AD556"/>
    <mergeCell ref="J557:L557"/>
    <mergeCell ref="L558:O558"/>
    <mergeCell ref="C561:G563"/>
    <mergeCell ref="H561:AA561"/>
    <mergeCell ref="AB561:AI562"/>
    <mergeCell ref="AJ561:AQ561"/>
    <mergeCell ref="H562:Q562"/>
    <mergeCell ref="R562:AA562"/>
    <mergeCell ref="AJ562:AQ562"/>
    <mergeCell ref="H563:L563"/>
    <mergeCell ref="M563:Q563"/>
    <mergeCell ref="R563:V563"/>
    <mergeCell ref="W563:AA563"/>
    <mergeCell ref="AB563:AE563"/>
    <mergeCell ref="AF563:AI563"/>
    <mergeCell ref="AJ563:AM563"/>
    <mergeCell ref="AN563:AQ563"/>
    <mergeCell ref="C564:G564"/>
    <mergeCell ref="H564:L564"/>
    <mergeCell ref="M564:Q564"/>
    <mergeCell ref="R564:V564"/>
    <mergeCell ref="W564:AA564"/>
    <mergeCell ref="AB564:AE564"/>
    <mergeCell ref="AF564:AI564"/>
    <mergeCell ref="AJ564:AM564"/>
    <mergeCell ref="AN564:AQ564"/>
    <mergeCell ref="C565:G565"/>
    <mergeCell ref="H565:L565"/>
    <mergeCell ref="M565:Q565"/>
    <mergeCell ref="R565:V565"/>
    <mergeCell ref="W565:AA565"/>
    <mergeCell ref="AB565:AE565"/>
    <mergeCell ref="AF565:AI565"/>
    <mergeCell ref="AJ565:AM565"/>
    <mergeCell ref="AG570:AH571"/>
    <mergeCell ref="AN565:AQ565"/>
    <mergeCell ref="F570:F571"/>
    <mergeCell ref="G570:H570"/>
    <mergeCell ref="I570:L571"/>
    <mergeCell ref="M570:N570"/>
    <mergeCell ref="O570:P571"/>
    <mergeCell ref="Q570:Q571"/>
    <mergeCell ref="R570:R571"/>
    <mergeCell ref="S570:W570"/>
    <mergeCell ref="G571:H571"/>
    <mergeCell ref="M571:N571"/>
    <mergeCell ref="S571:W571"/>
    <mergeCell ref="AB571:AF571"/>
    <mergeCell ref="Z570:Z571"/>
    <mergeCell ref="AA570:AA571"/>
    <mergeCell ref="AB570:AF570"/>
    <mergeCell ref="X570:Y571"/>
    <mergeCell ref="R572:U572"/>
    <mergeCell ref="W572:Z572"/>
    <mergeCell ref="AB572:AE572"/>
    <mergeCell ref="AI572:AK572"/>
    <mergeCell ref="Q575:Q576"/>
    <mergeCell ref="R575:R576"/>
    <mergeCell ref="S575:W575"/>
    <mergeCell ref="F575:F576"/>
    <mergeCell ref="G575:H575"/>
    <mergeCell ref="I575:L576"/>
    <mergeCell ref="M575:N575"/>
    <mergeCell ref="AG575:AH576"/>
    <mergeCell ref="G576:H576"/>
    <mergeCell ref="M576:N576"/>
    <mergeCell ref="S576:W576"/>
    <mergeCell ref="AB576:AF576"/>
    <mergeCell ref="X575:Y576"/>
    <mergeCell ref="Z575:Z576"/>
    <mergeCell ref="AA575:AA576"/>
    <mergeCell ref="AB575:AF575"/>
    <mergeCell ref="O575:P576"/>
    <mergeCell ref="R577:U577"/>
    <mergeCell ref="W577:Z577"/>
    <mergeCell ref="AB577:AE577"/>
    <mergeCell ref="AI577:AK577"/>
    <mergeCell ref="E586:F586"/>
    <mergeCell ref="M586:N586"/>
    <mergeCell ref="V586:X586"/>
    <mergeCell ref="AG587:AJ587"/>
    <mergeCell ref="AG589:AI589"/>
    <mergeCell ref="AG590:AI590"/>
    <mergeCell ref="AM590:AO590"/>
    <mergeCell ref="AG591:AI591"/>
    <mergeCell ref="AG593:AI593"/>
    <mergeCell ref="AM593:AO593"/>
    <mergeCell ref="M594:R594"/>
    <mergeCell ref="AG595:AI595"/>
    <mergeCell ref="AM595:AO595"/>
    <mergeCell ref="CA595:CC595"/>
    <mergeCell ref="F596:H596"/>
    <mergeCell ref="N596:S596"/>
    <mergeCell ref="X596:Z596"/>
    <mergeCell ref="AG596:AI596"/>
    <mergeCell ref="CA596:CC596"/>
    <mergeCell ref="AG597:AI597"/>
    <mergeCell ref="CA597:CC597"/>
    <mergeCell ref="AG598:AI598"/>
    <mergeCell ref="CA598:CC598"/>
    <mergeCell ref="AG599:AI599"/>
    <mergeCell ref="CA599:CC599"/>
    <mergeCell ref="AG600:AI600"/>
    <mergeCell ref="AG601:AH601"/>
    <mergeCell ref="AJ601:AK601"/>
    <mergeCell ref="AN601:AO601"/>
    <mergeCell ref="AQ601:AR601"/>
    <mergeCell ref="D603:AB603"/>
    <mergeCell ref="AC603:AF603"/>
    <mergeCell ref="AG603:AL603"/>
    <mergeCell ref="AC604:AF604"/>
    <mergeCell ref="AG604:AL604"/>
    <mergeCell ref="AC605:AF605"/>
    <mergeCell ref="AG605:AL605"/>
    <mergeCell ref="AC606:AF606"/>
    <mergeCell ref="AG606:AL606"/>
    <mergeCell ref="AC607:AF607"/>
    <mergeCell ref="AG607:AL607"/>
    <mergeCell ref="AC608:AF608"/>
    <mergeCell ref="AG608:AL608"/>
    <mergeCell ref="AC609:AF609"/>
    <mergeCell ref="AG609:AL609"/>
    <mergeCell ref="AC610:AF610"/>
    <mergeCell ref="AG610:AL610"/>
    <mergeCell ref="C613:J613"/>
    <mergeCell ref="K613:M613"/>
    <mergeCell ref="N613:P613"/>
    <mergeCell ref="Q613:T613"/>
    <mergeCell ref="U613:X613"/>
    <mergeCell ref="Y613:AC613"/>
    <mergeCell ref="AD613:AI613"/>
    <mergeCell ref="AJ613:AO613"/>
    <mergeCell ref="K614:M614"/>
    <mergeCell ref="N614:P614"/>
    <mergeCell ref="Q614:T614"/>
    <mergeCell ref="U614:X614"/>
    <mergeCell ref="Y614:AC614"/>
    <mergeCell ref="AD614:AI614"/>
    <mergeCell ref="AJ614:AO614"/>
    <mergeCell ref="K615:M615"/>
    <mergeCell ref="N615:P615"/>
    <mergeCell ref="Q615:T615"/>
    <mergeCell ref="U615:X615"/>
    <mergeCell ref="Y615:AC615"/>
    <mergeCell ref="AD615:AI615"/>
    <mergeCell ref="AJ615:AO615"/>
    <mergeCell ref="K616:M616"/>
    <mergeCell ref="N616:P616"/>
    <mergeCell ref="Q616:T616"/>
    <mergeCell ref="U616:X616"/>
    <mergeCell ref="Y616:AC616"/>
    <mergeCell ref="AD616:AI616"/>
    <mergeCell ref="AJ616:AO616"/>
    <mergeCell ref="K617:M617"/>
    <mergeCell ref="N617:P617"/>
    <mergeCell ref="Q617:T617"/>
    <mergeCell ref="U617:X617"/>
    <mergeCell ref="Y617:AC617"/>
    <mergeCell ref="AD617:AI617"/>
    <mergeCell ref="AJ617:AO617"/>
    <mergeCell ref="K618:M618"/>
    <mergeCell ref="N618:P618"/>
    <mergeCell ref="Q618:T618"/>
    <mergeCell ref="U618:X618"/>
    <mergeCell ref="Y618:AC618"/>
    <mergeCell ref="AD618:AI618"/>
    <mergeCell ref="AJ618:AO618"/>
    <mergeCell ref="K619:M619"/>
    <mergeCell ref="N619:P619"/>
    <mergeCell ref="Q619:T619"/>
    <mergeCell ref="U619:X619"/>
    <mergeCell ref="Y619:AC619"/>
    <mergeCell ref="AD619:AI619"/>
    <mergeCell ref="AJ619:AO619"/>
    <mergeCell ref="C620:J620"/>
    <mergeCell ref="Q620:T620"/>
    <mergeCell ref="Y620:AC620"/>
    <mergeCell ref="AD620:AI620"/>
    <mergeCell ref="AJ620:AO620"/>
    <mergeCell ref="L635:P635"/>
    <mergeCell ref="R635:X635"/>
    <mergeCell ref="Z635:AE635"/>
    <mergeCell ref="L636:P636"/>
    <mergeCell ref="R636:V636"/>
    <mergeCell ref="X636:AC636"/>
    <mergeCell ref="L637:P637"/>
    <mergeCell ref="R637:V637"/>
    <mergeCell ref="X637:AB637"/>
    <mergeCell ref="AD637:AI637"/>
    <mergeCell ref="M638:P638"/>
    <mergeCell ref="U638:V638"/>
    <mergeCell ref="X638:AB638"/>
    <mergeCell ref="AD638:AI638"/>
    <mergeCell ref="P639:T639"/>
    <mergeCell ref="V639:Y639"/>
    <mergeCell ref="AA639:AE639"/>
    <mergeCell ref="AB640:AF640"/>
    <mergeCell ref="M641:Q641"/>
    <mergeCell ref="M642:Q642"/>
    <mergeCell ref="S643:W643"/>
    <mergeCell ref="N646:R646"/>
    <mergeCell ref="N647:R647"/>
    <mergeCell ref="S648:W648"/>
    <mergeCell ref="Z651:AC651"/>
    <mergeCell ref="AJ651:AL651"/>
    <mergeCell ref="AU651:AW651"/>
    <mergeCell ref="AX651:AZ651"/>
    <mergeCell ref="BA651:BC651"/>
    <mergeCell ref="BD651:BF651"/>
    <mergeCell ref="BG651:BI651"/>
    <mergeCell ref="BJ651:BL651"/>
    <mergeCell ref="BM651:BO651"/>
    <mergeCell ref="BP651:BR651"/>
    <mergeCell ref="BS651:BU651"/>
    <mergeCell ref="BV651:BX651"/>
    <mergeCell ref="BY651:CA651"/>
    <mergeCell ref="CB651:CD651"/>
    <mergeCell ref="CE651:CG651"/>
    <mergeCell ref="CH651:CJ651"/>
    <mergeCell ref="AU652:AW652"/>
    <mergeCell ref="AX652:AZ652"/>
    <mergeCell ref="BA652:BC652"/>
    <mergeCell ref="BD652:BF652"/>
    <mergeCell ref="BG652:BI652"/>
    <mergeCell ref="BJ652:BL652"/>
    <mergeCell ref="BM652:BO652"/>
    <mergeCell ref="BP652:BR652"/>
    <mergeCell ref="BS652:BU652"/>
    <mergeCell ref="BV652:BX652"/>
    <mergeCell ref="BY652:CA652"/>
    <mergeCell ref="CB652:CD652"/>
    <mergeCell ref="CE652:CG652"/>
    <mergeCell ref="CH652:CJ652"/>
    <mergeCell ref="AU653:AW653"/>
    <mergeCell ref="AX653:AZ653"/>
    <mergeCell ref="BA653:BC653"/>
    <mergeCell ref="BD653:BF653"/>
    <mergeCell ref="BG653:BI653"/>
    <mergeCell ref="BJ653:BL653"/>
    <mergeCell ref="BM653:BO653"/>
    <mergeCell ref="BP653:BR653"/>
    <mergeCell ref="BS653:BU653"/>
    <mergeCell ref="BV653:BX653"/>
    <mergeCell ref="BY653:CA653"/>
    <mergeCell ref="CB653:CD653"/>
    <mergeCell ref="CE653:CG653"/>
    <mergeCell ref="CH653:CJ653"/>
    <mergeCell ref="AU654:AW654"/>
    <mergeCell ref="AX654:AZ654"/>
    <mergeCell ref="BA654:BC654"/>
    <mergeCell ref="BD654:BF654"/>
    <mergeCell ref="BG654:BI654"/>
    <mergeCell ref="BJ654:BL654"/>
    <mergeCell ref="BM654:BO654"/>
    <mergeCell ref="BP654:BR654"/>
    <mergeCell ref="BS654:BU654"/>
    <mergeCell ref="BV654:BX654"/>
    <mergeCell ref="BY654:CA654"/>
    <mergeCell ref="CB654:CD654"/>
    <mergeCell ref="CE654:CG654"/>
    <mergeCell ref="CH654:CJ654"/>
    <mergeCell ref="E655:G655"/>
    <mergeCell ref="J655:K655"/>
    <mergeCell ref="M655:N655"/>
    <mergeCell ref="Q655:S655"/>
    <mergeCell ref="V655:W655"/>
    <mergeCell ref="Y655:Z655"/>
    <mergeCell ref="AC655:AD655"/>
    <mergeCell ref="AF655:AI655"/>
    <mergeCell ref="AU656:AW656"/>
    <mergeCell ref="AX656:AZ656"/>
    <mergeCell ref="BA656:BC656"/>
    <mergeCell ref="BD656:BF656"/>
    <mergeCell ref="BG656:BI656"/>
    <mergeCell ref="BJ656:BL656"/>
    <mergeCell ref="BM656:BO656"/>
    <mergeCell ref="BP656:BR656"/>
    <mergeCell ref="BS656:BU656"/>
    <mergeCell ref="BV656:BX656"/>
    <mergeCell ref="BY656:CA656"/>
    <mergeCell ref="CB656:CD656"/>
    <mergeCell ref="CE656:CG656"/>
    <mergeCell ref="CH656:CJ656"/>
    <mergeCell ref="AU657:AW657"/>
    <mergeCell ref="AX657:AZ657"/>
    <mergeCell ref="BA657:BC657"/>
    <mergeCell ref="BD657:BF657"/>
    <mergeCell ref="BG657:BI657"/>
    <mergeCell ref="BJ657:BL657"/>
    <mergeCell ref="BM657:BO657"/>
    <mergeCell ref="BP657:BR657"/>
    <mergeCell ref="BS657:BU657"/>
    <mergeCell ref="BV657:BX657"/>
    <mergeCell ref="BY657:CA657"/>
    <mergeCell ref="CB657:CD657"/>
    <mergeCell ref="CE657:CG657"/>
    <mergeCell ref="CH657:CJ657"/>
    <mergeCell ref="AU658:AW658"/>
    <mergeCell ref="AX658:AZ658"/>
    <mergeCell ref="BA658:BC658"/>
    <mergeCell ref="BD658:BF658"/>
    <mergeCell ref="BG658:BI658"/>
    <mergeCell ref="BJ658:BL658"/>
    <mergeCell ref="BM658:BO658"/>
    <mergeCell ref="BP658:BR658"/>
    <mergeCell ref="BS658:BU658"/>
    <mergeCell ref="BV658:BX658"/>
    <mergeCell ref="BY658:CA658"/>
    <mergeCell ref="CB658:CD658"/>
    <mergeCell ref="CE658:CG658"/>
    <mergeCell ref="CH658:CJ658"/>
    <mergeCell ref="AU659:AW659"/>
    <mergeCell ref="AX659:AZ659"/>
    <mergeCell ref="BA659:BC659"/>
    <mergeCell ref="BD659:BF659"/>
    <mergeCell ref="BG659:BI659"/>
    <mergeCell ref="BJ659:BL659"/>
    <mergeCell ref="BM659:BO659"/>
    <mergeCell ref="BP659:BR659"/>
    <mergeCell ref="BS659:BU659"/>
    <mergeCell ref="BV659:BX659"/>
    <mergeCell ref="BY659:CA659"/>
    <mergeCell ref="CB659:CD659"/>
    <mergeCell ref="CE659:CG659"/>
    <mergeCell ref="CH659:CJ659"/>
    <mergeCell ref="AU661:AW661"/>
    <mergeCell ref="AX661:AZ661"/>
    <mergeCell ref="BA661:BC661"/>
    <mergeCell ref="BD661:BF661"/>
    <mergeCell ref="BG661:BI661"/>
    <mergeCell ref="BJ661:BL661"/>
    <mergeCell ref="BM661:BO661"/>
    <mergeCell ref="BP661:BR661"/>
    <mergeCell ref="BS661:BU661"/>
    <mergeCell ref="BV661:BX661"/>
    <mergeCell ref="BY661:CA661"/>
    <mergeCell ref="CB661:CD661"/>
    <mergeCell ref="CE661:CG661"/>
    <mergeCell ref="CH661:CJ661"/>
    <mergeCell ref="S662:V662"/>
    <mergeCell ref="AU662:AW662"/>
    <mergeCell ref="AX662:AZ662"/>
    <mergeCell ref="BA662:BC662"/>
    <mergeCell ref="BD662:BF662"/>
    <mergeCell ref="BG662:BI662"/>
    <mergeCell ref="BJ662:BL662"/>
    <mergeCell ref="BM662:BO662"/>
    <mergeCell ref="BP662:BR662"/>
    <mergeCell ref="BS662:BU662"/>
    <mergeCell ref="BV662:BX662"/>
    <mergeCell ref="BY662:CA662"/>
    <mergeCell ref="CB662:CD662"/>
    <mergeCell ref="CE662:CG662"/>
    <mergeCell ref="CH662:CJ662"/>
    <mergeCell ref="H663:K663"/>
    <mergeCell ref="AU663:AW663"/>
    <mergeCell ref="AX663:AZ663"/>
    <mergeCell ref="BA663:BC663"/>
    <mergeCell ref="BD663:BF663"/>
    <mergeCell ref="BG663:BI663"/>
    <mergeCell ref="BJ663:BL663"/>
    <mergeCell ref="BM663:BO663"/>
    <mergeCell ref="BP663:BR663"/>
    <mergeCell ref="BS663:BU663"/>
    <mergeCell ref="BV663:BX663"/>
    <mergeCell ref="BY663:CA663"/>
    <mergeCell ref="CB663:CD663"/>
    <mergeCell ref="CE663:CG663"/>
    <mergeCell ref="CH663:CJ663"/>
    <mergeCell ref="S664:V664"/>
    <mergeCell ref="AU664:AW664"/>
    <mergeCell ref="AX664:AZ664"/>
    <mergeCell ref="BA664:BC664"/>
    <mergeCell ref="BD664:BF664"/>
    <mergeCell ref="BG664:BI664"/>
    <mergeCell ref="BJ664:BL664"/>
    <mergeCell ref="BM664:BO664"/>
    <mergeCell ref="BP664:BR664"/>
    <mergeCell ref="BS664:BU664"/>
    <mergeCell ref="BV664:BX664"/>
    <mergeCell ref="BY664:CA664"/>
    <mergeCell ref="CB664:CD664"/>
    <mergeCell ref="CE664:CG664"/>
    <mergeCell ref="CH664:CJ664"/>
    <mergeCell ref="E665:I666"/>
    <mergeCell ref="K665:L665"/>
    <mergeCell ref="P665:P666"/>
    <mergeCell ref="T665:V665"/>
    <mergeCell ref="AA665:AB666"/>
    <mergeCell ref="AC665:AE666"/>
    <mergeCell ref="AF665:AG666"/>
    <mergeCell ref="J666:K666"/>
    <mergeCell ref="R666:S666"/>
    <mergeCell ref="U666:W666"/>
    <mergeCell ref="Y666:Z666"/>
    <mergeCell ref="AU666:AW666"/>
    <mergeCell ref="AX666:AZ666"/>
    <mergeCell ref="BA666:BC666"/>
    <mergeCell ref="BD666:BF666"/>
    <mergeCell ref="BG666:BI666"/>
    <mergeCell ref="BJ666:BL666"/>
    <mergeCell ref="BM666:BO666"/>
    <mergeCell ref="BP666:BR666"/>
    <mergeCell ref="BS666:BU666"/>
    <mergeCell ref="BV666:BX666"/>
    <mergeCell ref="BY666:CA666"/>
    <mergeCell ref="CB666:CD666"/>
    <mergeCell ref="CE666:CG666"/>
    <mergeCell ref="CH666:CJ666"/>
    <mergeCell ref="O667:R667"/>
    <mergeCell ref="AU667:AW667"/>
    <mergeCell ref="AX667:AZ667"/>
    <mergeCell ref="BA667:BC667"/>
    <mergeCell ref="BD667:BF667"/>
    <mergeCell ref="BG667:BI667"/>
    <mergeCell ref="BJ667:BL667"/>
    <mergeCell ref="BM667:BO667"/>
    <mergeCell ref="BP667:BR667"/>
    <mergeCell ref="BS667:BU667"/>
    <mergeCell ref="BV667:BX667"/>
    <mergeCell ref="BY667:CA667"/>
    <mergeCell ref="CB667:CD667"/>
    <mergeCell ref="CE667:CG667"/>
    <mergeCell ref="CH667:CJ667"/>
    <mergeCell ref="F668:G668"/>
    <mergeCell ref="J668:J669"/>
    <mergeCell ref="K668:O669"/>
    <mergeCell ref="Q668:R668"/>
    <mergeCell ref="U668:U669"/>
    <mergeCell ref="X668:Z668"/>
    <mergeCell ref="AE668:AE669"/>
    <mergeCell ref="BA668:BC668"/>
    <mergeCell ref="BD668:BF668"/>
    <mergeCell ref="BG668:BI668"/>
    <mergeCell ref="BJ668:BL668"/>
    <mergeCell ref="BM668:BO668"/>
    <mergeCell ref="BP668:BR668"/>
    <mergeCell ref="BS668:BU668"/>
    <mergeCell ref="BV668:BX668"/>
    <mergeCell ref="BY668:CA668"/>
    <mergeCell ref="CB668:CD668"/>
    <mergeCell ref="CE668:CG668"/>
    <mergeCell ref="CH668:CJ668"/>
    <mergeCell ref="E669:F669"/>
    <mergeCell ref="P669:Q669"/>
    <mergeCell ref="V669:W669"/>
    <mergeCell ref="Y669:AA669"/>
    <mergeCell ref="AC669:AD669"/>
    <mergeCell ref="AU669:AW669"/>
    <mergeCell ref="AX669:AZ669"/>
    <mergeCell ref="BA669:BC669"/>
    <mergeCell ref="AF668:AH669"/>
    <mergeCell ref="AI668:AJ669"/>
    <mergeCell ref="AU668:AW668"/>
    <mergeCell ref="AX668:AZ668"/>
    <mergeCell ref="BD669:BF669"/>
    <mergeCell ref="BG669:BI669"/>
    <mergeCell ref="BJ669:BL669"/>
    <mergeCell ref="BM669:BO669"/>
    <mergeCell ref="CB669:CD669"/>
    <mergeCell ref="CE669:CG669"/>
    <mergeCell ref="CH669:CJ669"/>
    <mergeCell ref="O670:Q670"/>
    <mergeCell ref="S670:T670"/>
    <mergeCell ref="AF670:AI670"/>
    <mergeCell ref="BP669:BR669"/>
    <mergeCell ref="BS669:BU669"/>
    <mergeCell ref="BV669:BX669"/>
    <mergeCell ref="BY669:CA669"/>
    <mergeCell ref="F671:G671"/>
    <mergeCell ref="J671:J672"/>
    <mergeCell ref="K671:O672"/>
    <mergeCell ref="Q671:R671"/>
    <mergeCell ref="AI671:AJ672"/>
    <mergeCell ref="E672:F672"/>
    <mergeCell ref="P672:Q672"/>
    <mergeCell ref="V672:W672"/>
    <mergeCell ref="Y672:AA672"/>
    <mergeCell ref="AC672:AD672"/>
    <mergeCell ref="U671:U672"/>
    <mergeCell ref="X671:Z671"/>
    <mergeCell ref="AE671:AE672"/>
    <mergeCell ref="AF671:AH672"/>
    <mergeCell ref="N673:Q673"/>
    <mergeCell ref="AA673:AD673"/>
    <mergeCell ref="J674:L674"/>
    <mergeCell ref="L675:O675"/>
    <mergeCell ref="C678:G680"/>
    <mergeCell ref="H678:AA678"/>
    <mergeCell ref="AB678:AI679"/>
    <mergeCell ref="AJ678:AQ678"/>
    <mergeCell ref="H679:Q679"/>
    <mergeCell ref="R679:AA679"/>
    <mergeCell ref="AJ679:AQ679"/>
    <mergeCell ref="H680:L680"/>
    <mergeCell ref="M680:Q680"/>
    <mergeCell ref="R680:V680"/>
    <mergeCell ref="W680:AA680"/>
    <mergeCell ref="AB680:AE680"/>
    <mergeCell ref="AF680:AI680"/>
    <mergeCell ref="AJ680:AM680"/>
    <mergeCell ref="AN680:AQ680"/>
    <mergeCell ref="C681:G681"/>
    <mergeCell ref="H681:L681"/>
    <mergeCell ref="M681:Q681"/>
    <mergeCell ref="R681:V681"/>
    <mergeCell ref="W681:AA681"/>
    <mergeCell ref="AB681:AE681"/>
    <mergeCell ref="AF681:AI681"/>
    <mergeCell ref="AJ681:AM681"/>
    <mergeCell ref="AN681:AQ681"/>
    <mergeCell ref="C682:G682"/>
    <mergeCell ref="H682:L682"/>
    <mergeCell ref="M682:Q682"/>
    <mergeCell ref="R682:V682"/>
    <mergeCell ref="W682:AA682"/>
    <mergeCell ref="AB682:AE682"/>
    <mergeCell ref="AF682:AI682"/>
    <mergeCell ref="AJ682:AM682"/>
    <mergeCell ref="AG687:AH688"/>
    <mergeCell ref="AN682:AQ682"/>
    <mergeCell ref="F687:F688"/>
    <mergeCell ref="G687:H687"/>
    <mergeCell ref="I687:L688"/>
    <mergeCell ref="M687:N687"/>
    <mergeCell ref="O687:P688"/>
    <mergeCell ref="Q687:Q688"/>
    <mergeCell ref="R687:R688"/>
    <mergeCell ref="S687:W687"/>
    <mergeCell ref="G688:H688"/>
    <mergeCell ref="M688:N688"/>
    <mergeCell ref="S688:W688"/>
    <mergeCell ref="AB688:AF688"/>
    <mergeCell ref="Z687:Z688"/>
    <mergeCell ref="AA687:AA688"/>
    <mergeCell ref="AB687:AF687"/>
    <mergeCell ref="X687:Y688"/>
    <mergeCell ref="R689:U689"/>
    <mergeCell ref="W689:Z689"/>
    <mergeCell ref="AB689:AE689"/>
    <mergeCell ref="AI689:AK689"/>
    <mergeCell ref="Q692:Q693"/>
    <mergeCell ref="R692:R693"/>
    <mergeCell ref="S692:W692"/>
    <mergeCell ref="F692:F693"/>
    <mergeCell ref="G692:H692"/>
    <mergeCell ref="I692:L693"/>
    <mergeCell ref="M692:N692"/>
    <mergeCell ref="AG692:AH693"/>
    <mergeCell ref="G693:H693"/>
    <mergeCell ref="M693:N693"/>
    <mergeCell ref="S693:W693"/>
    <mergeCell ref="AB693:AF693"/>
    <mergeCell ref="X692:Y693"/>
    <mergeCell ref="Z692:Z693"/>
    <mergeCell ref="AA692:AA693"/>
    <mergeCell ref="AB692:AF692"/>
    <mergeCell ref="O692:P693"/>
    <mergeCell ref="R694:U694"/>
    <mergeCell ref="W694:Z694"/>
    <mergeCell ref="AB694:AE694"/>
    <mergeCell ref="AI694:AK694"/>
  </mergeCells>
  <printOptions/>
  <pageMargins left="0.551181102362205" right="0.551181102362205" top="0.9842519685039375" bottom="0.9842519685039375" header="0.5" footer="0.5"/>
  <pageSetup horizontalDpi="600" verticalDpi="6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B39"/>
  <sheetViews>
    <sheetView workbookViewId="0" topLeftCell="B47">
      <selection activeCell="B1" sqref="A1:IV16384"/>
    </sheetView>
  </sheetViews>
  <sheetFormatPr defaultColWidth="8.88671875" defaultRowHeight="18" customHeight="1"/>
  <cols>
    <col min="1" max="16384" width="2.77734375" style="331" customWidth="1"/>
  </cols>
  <sheetData>
    <row r="1" ht="18" customHeight="1">
      <c r="B1" s="330" t="s">
        <v>303</v>
      </c>
    </row>
    <row r="2" ht="18" customHeight="1">
      <c r="B2" s="54" t="s">
        <v>2</v>
      </c>
    </row>
    <row r="39" ht="18" customHeight="1">
      <c r="B39" s="54" t="s">
        <v>3</v>
      </c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한길아이티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김병진</dc:creator>
  <cp:keywords/>
  <dc:description/>
  <cp:lastModifiedBy>Ishikawa</cp:lastModifiedBy>
  <cp:lastPrinted>2006-01-13T08:37:09Z</cp:lastPrinted>
  <dcterms:created xsi:type="dcterms:W3CDTF">2005-11-16T06:07:05Z</dcterms:created>
  <dcterms:modified xsi:type="dcterms:W3CDTF">2009-07-14T02:20:26Z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